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60" yWindow="-75" windowWidth="21360" windowHeight="14115"/>
  </bookViews>
  <sheets>
    <sheet name="Rekapitulace" sheetId="13" r:id="rId1"/>
    <sheet name="D.1.1. ASR - NS" sheetId="12" r:id="rId2"/>
  </sheets>
  <externalReferences>
    <externalReference r:id="rId3"/>
    <externalReference r:id="rId4"/>
    <externalReference r:id="rId5"/>
    <externalReference r:id="rId6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DATE(YEAR([2]!Loan_Start),MONTH([2]!Loan_Start)+Payment_Number,DAY([2]!Loan_Start))</definedName>
    <definedName name="_VZT2">DATE(YEAR([1]!Loan_Start),MONTH([1]!Loan_Start)+Payment_Number,DAY([1]!Loan_Start))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IF('D.1.1. ASR - NS'!Values_Entered,'D.1.1. ASR - NS'!Header_Row+'D.1.1. ASR - NS'!Number_of_Payments,'D.1.1. ASR - NS'!Header_Row)</definedName>
    <definedName name="Last_Row" localSheetId="0">IF(Rekapitulace!Values_Entered,Rekapitulace!Header_Row+Rekapitulace!Number_of_Payments,Rekapitulace!Header_Row)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MATCH(0.01,'D.1.1. ASR - NS'!End_Bal,-1)+1</definedName>
    <definedName name="Number_of_Payments" localSheetId="0">MATCH(0.01,Rekapitulace!End_Bal,-1)+1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_xlnm.Print_Area" localSheetId="1">'D.1.1. ASR - NS'!$A$1:$I$931</definedName>
    <definedName name="_xlnm.Print_Area" localSheetId="0">Rekapitulace!$A$1:$D$36</definedName>
    <definedName name="op" localSheetId="1">#REF!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DATE(YEAR('D.1.1. ASR - NS'!Loan_Start),MONTH('D.1.1. ASR - NS'!Loan_Start)+Payment_Number,DAY('D.1.1. ASR - NS'!Loan_Start))</definedName>
    <definedName name="Payment_Date" localSheetId="0">DATE(YEAR(Rekapitulace!Loan_Start),MONTH(Rekapitulace!Loan_Start)+Payment_Number,DAY(Rekapitulace!Loan_Start))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_Reset" localSheetId="1">OFFSET('D.1.1. ASR - NS'!Full_Print,0,0,'D.1.1. ASR - NS'!Last_Row)</definedName>
    <definedName name="Print_Area_Reset" localSheetId="0">OFFSET(Rekapitulace!Full_Print,0,0,Rekapitulace!Last_Row)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IF('D.1.1. ASR - NS'!Loan_Amount*'D.1.1. ASR - NS'!Interest_Rate*'D.1.1. ASR - NS'!Loan_Years*'D.1.1. ASR - NS'!Loan_Start&gt;0,1,0)</definedName>
    <definedName name="Values_Entered" localSheetId="0">IF(Rekapitulace!Loan_Amount*Rekapitulace!Interest_Rate*Rekapitulace!Loan_Years*Rekapitulace!Loan_Start&gt;0,1,0)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894" i="12"/>
  <c r="H894" s="1"/>
  <c r="F351"/>
  <c r="F353" s="1"/>
  <c r="F356" s="1"/>
  <c r="H356" s="1"/>
  <c r="F355" l="1"/>
  <c r="H355" s="1"/>
  <c r="H353"/>
  <c r="F354"/>
  <c r="H354" s="1"/>
  <c r="G351" l="1"/>
  <c r="H351" s="1"/>
  <c r="F650"/>
  <c r="F649"/>
  <c r="F648"/>
  <c r="F647"/>
  <c r="F206"/>
  <c r="F207"/>
  <c r="H214" l="1"/>
  <c r="F213"/>
  <c r="F212" s="1"/>
  <c r="F901"/>
  <c r="F908"/>
  <c r="H908" s="1"/>
  <c r="F542"/>
  <c r="H540"/>
  <c r="H768"/>
  <c r="F765"/>
  <c r="H772"/>
  <c r="H771"/>
  <c r="H770"/>
  <c r="H769"/>
  <c r="H767"/>
  <c r="G212" l="1"/>
  <c r="H212" s="1"/>
  <c r="H542"/>
  <c r="G765"/>
  <c r="F388"/>
  <c r="F384" s="1"/>
  <c r="H765" l="1"/>
  <c r="H387"/>
  <c r="H386"/>
  <c r="G384" l="1"/>
  <c r="H384" s="1"/>
  <c r="F842"/>
  <c r="F243"/>
  <c r="F231"/>
  <c r="F151"/>
  <c r="F150" s="1"/>
  <c r="F148"/>
  <c r="F145"/>
  <c r="F142"/>
  <c r="F141" s="1"/>
  <c r="H141" s="1"/>
  <c r="F526"/>
  <c r="F832"/>
  <c r="F831"/>
  <c r="F830"/>
  <c r="F829"/>
  <c r="F828"/>
  <c r="F501"/>
  <c r="F500"/>
  <c r="F499"/>
  <c r="F498"/>
  <c r="F497"/>
  <c r="F859"/>
  <c r="F858"/>
  <c r="F857"/>
  <c r="F856"/>
  <c r="F854"/>
  <c r="H150" l="1"/>
  <c r="F144"/>
  <c r="F146" s="1"/>
  <c r="H146" s="1"/>
  <c r="F147"/>
  <c r="H147" s="1"/>
  <c r="F149" l="1"/>
  <c r="H149" s="1"/>
  <c r="H144"/>
  <c r="F123" l="1"/>
  <c r="F122"/>
  <c r="F192"/>
  <c r="F186"/>
  <c r="F187"/>
  <c r="F101"/>
  <c r="F102"/>
  <c r="F103"/>
  <c r="F104"/>
  <c r="F105"/>
  <c r="F57"/>
  <c r="F38"/>
  <c r="H359"/>
  <c r="F59"/>
  <c r="F283"/>
  <c r="F282"/>
  <c r="F281" l="1"/>
  <c r="H281" s="1"/>
  <c r="F121"/>
  <c r="H121" s="1"/>
  <c r="F507" l="1"/>
  <c r="H507" s="1"/>
  <c r="F176"/>
  <c r="F175"/>
  <c r="F174"/>
  <c r="F173"/>
  <c r="F172"/>
  <c r="F171"/>
  <c r="F170"/>
  <c r="F169"/>
  <c r="F168"/>
  <c r="F167"/>
  <c r="F166"/>
  <c r="F165"/>
  <c r="F164"/>
  <c r="F163"/>
  <c r="F162"/>
  <c r="F161"/>
  <c r="F131" l="1"/>
  <c r="F486" l="1"/>
  <c r="F868"/>
  <c r="F426"/>
  <c r="H426" s="1"/>
  <c r="F376"/>
  <c r="F637"/>
  <c r="F638"/>
  <c r="F669"/>
  <c r="F678" s="1"/>
  <c r="F677" s="1"/>
  <c r="H677" s="1"/>
  <c r="F328"/>
  <c r="F325"/>
  <c r="F317"/>
  <c r="F515"/>
  <c r="F514"/>
  <c r="F512"/>
  <c r="F513"/>
  <c r="F327"/>
  <c r="F227"/>
  <c r="F183"/>
  <c r="F157"/>
  <c r="F118"/>
  <c r="F117"/>
  <c r="F116"/>
  <c r="F867"/>
  <c r="F465"/>
  <c r="H465" s="1"/>
  <c r="F450"/>
  <c r="F441"/>
  <c r="F432"/>
  <c r="F416"/>
  <c r="F850"/>
  <c r="F851"/>
  <c r="F252"/>
  <c r="F251"/>
  <c r="F240"/>
  <c r="F239"/>
  <c r="F132"/>
  <c r="F80"/>
  <c r="F74"/>
  <c r="F98"/>
  <c r="F91"/>
  <c r="F817"/>
  <c r="F479"/>
  <c r="F472"/>
  <c r="F782"/>
  <c r="F371"/>
  <c r="F324"/>
  <c r="F316"/>
  <c r="F816"/>
  <c r="F375"/>
  <c r="F374"/>
  <c r="F248"/>
  <c r="F250"/>
  <c r="F249"/>
  <c r="F182"/>
  <c r="F156"/>
  <c r="F525"/>
  <c r="F524"/>
  <c r="F523"/>
  <c r="F522"/>
  <c r="F521"/>
  <c r="F115"/>
  <c r="F114"/>
  <c r="F113"/>
  <c r="F866"/>
  <c r="F397"/>
  <c r="F394" s="1"/>
  <c r="H394" s="1"/>
  <c r="F431" l="1"/>
  <c r="F510"/>
  <c r="H510" s="1"/>
  <c r="F326"/>
  <c r="H326" s="1"/>
  <c r="F399"/>
  <c r="H399" s="1"/>
  <c r="H398"/>
  <c r="F849"/>
  <c r="F848"/>
  <c r="F847"/>
  <c r="F237"/>
  <c r="F238"/>
  <c r="F236"/>
  <c r="F97"/>
  <c r="F90"/>
  <c r="F370"/>
  <c r="F710"/>
  <c r="F225"/>
  <c r="F323"/>
  <c r="F315"/>
  <c r="H393" l="1"/>
  <c r="C19" i="13" s="1"/>
  <c r="F181" i="12"/>
  <c r="F160"/>
  <c r="F155"/>
  <c r="F865"/>
  <c r="F459"/>
  <c r="F471" s="1"/>
  <c r="F846"/>
  <c r="F247"/>
  <c r="F235"/>
  <c r="F96"/>
  <c r="F89"/>
  <c r="F815"/>
  <c r="F520"/>
  <c r="F663"/>
  <c r="F754"/>
  <c r="F223"/>
  <c r="F322"/>
  <c r="F314"/>
  <c r="F369" l="1"/>
  <c r="F205"/>
  <c r="F372"/>
  <c r="F373"/>
  <c r="F368"/>
  <c r="F367"/>
  <c r="F495" l="1"/>
  <c r="F366"/>
  <c r="H366" s="1"/>
  <c r="F321" l="1"/>
  <c r="F271"/>
  <c r="F588" l="1"/>
  <c r="F72"/>
  <c r="F64" s="1"/>
  <c r="H70"/>
  <c r="H69"/>
  <c r="H68"/>
  <c r="H67"/>
  <c r="H66"/>
  <c r="F29"/>
  <c r="F204"/>
  <c r="F203"/>
  <c r="F180"/>
  <c r="F179"/>
  <c r="F154"/>
  <c r="F153"/>
  <c r="F159"/>
  <c r="F158"/>
  <c r="F519"/>
  <c r="F518"/>
  <c r="F516" l="1"/>
  <c r="F178"/>
  <c r="F152"/>
  <c r="F202"/>
  <c r="G64"/>
  <c r="H64" s="1"/>
  <c r="F185"/>
  <c r="H459" l="1"/>
  <c r="F864"/>
  <c r="H432"/>
  <c r="F863"/>
  <c r="F844"/>
  <c r="F245"/>
  <c r="F233"/>
  <c r="F845"/>
  <c r="F843"/>
  <c r="F246"/>
  <c r="F244"/>
  <c r="F234"/>
  <c r="F232" l="1"/>
  <c r="F814"/>
  <c r="F813"/>
  <c r="F95"/>
  <c r="F94"/>
  <c r="F88"/>
  <c r="F221"/>
  <c r="F313"/>
  <c r="F219"/>
  <c r="F662"/>
  <c r="F576"/>
  <c r="F812" l="1"/>
  <c r="F93"/>
  <c r="F194"/>
  <c r="F189"/>
  <c r="F241"/>
  <c r="F229"/>
  <c r="F138"/>
  <c r="H138" s="1"/>
  <c r="H132"/>
  <c r="F100"/>
  <c r="F87"/>
  <c r="F86" s="1"/>
  <c r="F876"/>
  <c r="H876" s="1"/>
  <c r="H516" l="1"/>
  <c r="H472"/>
  <c r="H479"/>
  <c r="F628" l="1"/>
  <c r="F915"/>
  <c r="F599"/>
  <c r="F589" s="1"/>
  <c r="H596"/>
  <c r="H595"/>
  <c r="H594"/>
  <c r="H593"/>
  <c r="H592"/>
  <c r="H591"/>
  <c r="G589" l="1"/>
  <c r="H589" l="1"/>
  <c r="F646"/>
  <c r="F645" s="1"/>
  <c r="F639"/>
  <c r="H639" s="1"/>
  <c r="F661"/>
  <c r="F658" s="1"/>
  <c r="F665"/>
  <c r="H665" s="1"/>
  <c r="H664"/>
  <c r="F811"/>
  <c r="F320"/>
  <c r="F312"/>
  <c r="H658" l="1"/>
  <c r="H657" s="1"/>
  <c r="C25" i="13" s="1"/>
  <c r="F253" i="12"/>
  <c r="F504"/>
  <c r="H504" s="1"/>
  <c r="F861"/>
  <c r="F852" s="1"/>
  <c r="H271"/>
  <c r="F810"/>
  <c r="H539" l="1"/>
  <c r="H538"/>
  <c r="H537"/>
  <c r="H673"/>
  <c r="H672"/>
  <c r="H671"/>
  <c r="H716"/>
  <c r="H715"/>
  <c r="H714"/>
  <c r="H713"/>
  <c r="H712"/>
  <c r="H760"/>
  <c r="H759"/>
  <c r="H758"/>
  <c r="H757"/>
  <c r="H756"/>
  <c r="F573"/>
  <c r="H573" s="1"/>
  <c r="H631"/>
  <c r="H630"/>
  <c r="F614"/>
  <c r="H620"/>
  <c r="H619"/>
  <c r="H618"/>
  <c r="H617"/>
  <c r="H616"/>
  <c r="F698"/>
  <c r="F684"/>
  <c r="F601"/>
  <c r="H706"/>
  <c r="H705"/>
  <c r="H704"/>
  <c r="H703"/>
  <c r="H702"/>
  <c r="H701"/>
  <c r="H700"/>
  <c r="H749"/>
  <c r="H748"/>
  <c r="H747"/>
  <c r="H746"/>
  <c r="F744"/>
  <c r="H687"/>
  <c r="H691"/>
  <c r="H690"/>
  <c r="H689"/>
  <c r="H688"/>
  <c r="H686"/>
  <c r="F724"/>
  <c r="H724" s="1"/>
  <c r="H723"/>
  <c r="H679"/>
  <c r="H607"/>
  <c r="H606"/>
  <c r="H605"/>
  <c r="H604"/>
  <c r="H603"/>
  <c r="F734"/>
  <c r="H739"/>
  <c r="H738"/>
  <c r="H737"/>
  <c r="H736"/>
  <c r="H495"/>
  <c r="H915"/>
  <c r="F722" l="1"/>
  <c r="F721" s="1"/>
  <c r="H721" s="1"/>
  <c r="G669"/>
  <c r="G710"/>
  <c r="G754"/>
  <c r="G734"/>
  <c r="G684"/>
  <c r="G614"/>
  <c r="G628"/>
  <c r="G744"/>
  <c r="G698"/>
  <c r="G601"/>
  <c r="H754" l="1"/>
  <c r="H744"/>
  <c r="H734"/>
  <c r="H710"/>
  <c r="H698"/>
  <c r="H684"/>
  <c r="H669"/>
  <c r="H628"/>
  <c r="H614"/>
  <c r="H601"/>
  <c r="H381"/>
  <c r="H380"/>
  <c r="H379"/>
  <c r="F382"/>
  <c r="F377" s="1"/>
  <c r="F288"/>
  <c r="F287" s="1"/>
  <c r="H287" s="1"/>
  <c r="F286"/>
  <c r="F285" s="1"/>
  <c r="H285" s="1"/>
  <c r="H683" l="1"/>
  <c r="C27" i="13" s="1"/>
  <c r="G377" i="12"/>
  <c r="H377" s="1"/>
  <c r="F345"/>
  <c r="F348" s="1"/>
  <c r="H348" l="1"/>
  <c r="F349"/>
  <c r="F350" s="1"/>
  <c r="H350" s="1"/>
  <c r="H349" l="1"/>
  <c r="G345" s="1"/>
  <c r="H345" s="1"/>
  <c r="F343"/>
  <c r="H343" s="1"/>
  <c r="F820"/>
  <c r="F818" s="1"/>
  <c r="H818" s="1"/>
  <c r="F191"/>
  <c r="H191" s="1"/>
  <c r="F193"/>
  <c r="F195" s="1"/>
  <c r="H195" s="1"/>
  <c r="F197"/>
  <c r="F196" s="1"/>
  <c r="H196" s="1"/>
  <c r="F188"/>
  <c r="H188" s="1"/>
  <c r="F128"/>
  <c r="F127" s="1"/>
  <c r="F130"/>
  <c r="H130" s="1"/>
  <c r="F125"/>
  <c r="F124" s="1"/>
  <c r="H124" s="1"/>
  <c r="F201"/>
  <c r="F30"/>
  <c r="F25"/>
  <c r="F24" s="1"/>
  <c r="F198" l="1"/>
  <c r="H198" s="1"/>
  <c r="H193"/>
  <c r="F129"/>
  <c r="H129" s="1"/>
  <c r="H127"/>
  <c r="H24"/>
  <c r="F23"/>
  <c r="F22" s="1"/>
  <c r="H22" s="1"/>
  <c r="F21" l="1"/>
  <c r="F19"/>
  <c r="F18" s="1"/>
  <c r="H18" s="1"/>
  <c r="F17"/>
  <c r="F16" s="1"/>
  <c r="H16" s="1"/>
  <c r="F15"/>
  <c r="F14" s="1"/>
  <c r="H14" s="1"/>
  <c r="F20"/>
  <c r="H20" s="1"/>
  <c r="H13" l="1"/>
  <c r="H12"/>
  <c r="H11"/>
  <c r="H10"/>
  <c r="H9" l="1"/>
  <c r="C10" i="13" s="1"/>
  <c r="F112" i="12"/>
  <c r="F111" s="1"/>
  <c r="H118"/>
  <c r="H117"/>
  <c r="F200"/>
  <c r="F199" l="1"/>
  <c r="H199" s="1"/>
  <c r="G111"/>
  <c r="H111" s="1"/>
  <c r="F805" l="1"/>
  <c r="F803" s="1"/>
  <c r="H803" s="1"/>
  <c r="F800" l="1"/>
  <c r="H800" s="1"/>
  <c r="F222"/>
  <c r="F228"/>
  <c r="F226"/>
  <c r="F891" l="1"/>
  <c r="H891" s="1"/>
  <c r="F503" l="1"/>
  <c r="H209" l="1"/>
  <c r="H208"/>
  <c r="H185"/>
  <c r="F410"/>
  <c r="F406" s="1"/>
  <c r="H406" s="1"/>
  <c r="F793"/>
  <c r="H793" s="1"/>
  <c r="H792"/>
  <c r="H812"/>
  <c r="H645"/>
  <c r="H585"/>
  <c r="H584"/>
  <c r="F582"/>
  <c r="F654"/>
  <c r="H654" s="1"/>
  <c r="H653"/>
  <c r="H731"/>
  <c r="H730"/>
  <c r="F728"/>
  <c r="F776" s="1"/>
  <c r="F778"/>
  <c r="H778" s="1"/>
  <c r="H777"/>
  <c r="F888"/>
  <c r="H888" s="1"/>
  <c r="F897"/>
  <c r="H897" s="1"/>
  <c r="F885"/>
  <c r="H885" s="1"/>
  <c r="F880"/>
  <c r="H880" s="1"/>
  <c r="H879"/>
  <c r="H878"/>
  <c r="H875"/>
  <c r="H874"/>
  <c r="F775" l="1"/>
  <c r="H775" s="1"/>
  <c r="F644"/>
  <c r="F643" s="1"/>
  <c r="G202"/>
  <c r="H202" s="1"/>
  <c r="H152"/>
  <c r="H178"/>
  <c r="F184"/>
  <c r="H184" s="1"/>
  <c r="G582"/>
  <c r="H582" s="1"/>
  <c r="G728"/>
  <c r="H884"/>
  <c r="C34" i="13" s="1"/>
  <c r="H873" i="12"/>
  <c r="C32" i="13" s="1"/>
  <c r="H728" i="12" l="1"/>
  <c r="H727" s="1"/>
  <c r="C28" i="13" s="1"/>
  <c r="H140" i="12"/>
  <c r="C13" i="13" s="1"/>
  <c r="H643" i="12"/>
  <c r="F651"/>
  <c r="H782"/>
  <c r="F791"/>
  <c r="F790" s="1"/>
  <c r="H790" s="1"/>
  <c r="F789"/>
  <c r="H789" s="1"/>
  <c r="H781" l="1"/>
  <c r="C29" i="13" s="1"/>
  <c r="F365" i="12" l="1"/>
  <c r="F364" s="1"/>
  <c r="H364" s="1"/>
  <c r="F390"/>
  <c r="H390" s="1"/>
  <c r="H389"/>
  <c r="F340"/>
  <c r="F339" s="1"/>
  <c r="H339" s="1"/>
  <c r="H486"/>
  <c r="H441"/>
  <c r="H80"/>
  <c r="H74"/>
  <c r="H93"/>
  <c r="H86"/>
  <c r="H363" l="1"/>
  <c r="H450"/>
  <c r="H471"/>
  <c r="F809"/>
  <c r="H809" s="1"/>
  <c r="H503"/>
  <c r="H100"/>
  <c r="F99"/>
  <c r="H99" s="1"/>
  <c r="C18" i="13" l="1"/>
  <c r="F44" i="12"/>
  <c r="F49"/>
  <c r="F48" s="1"/>
  <c r="H48" s="1"/>
  <c r="F51"/>
  <c r="F342" l="1"/>
  <c r="H62"/>
  <c r="F58"/>
  <c r="H61"/>
  <c r="H60"/>
  <c r="F56"/>
  <c r="H56" s="1"/>
  <c r="F54"/>
  <c r="F53" s="1"/>
  <c r="F55" s="1"/>
  <c r="H55" s="1"/>
  <c r="F50"/>
  <c r="H50" s="1"/>
  <c r="F43"/>
  <c r="F42" s="1"/>
  <c r="F45" s="1"/>
  <c r="H45" s="1"/>
  <c r="F47"/>
  <c r="F46" s="1"/>
  <c r="H46" s="1"/>
  <c r="F40"/>
  <c r="F39" s="1"/>
  <c r="H39" s="1"/>
  <c r="F37"/>
  <c r="H37" s="1"/>
  <c r="F35"/>
  <c r="F34" s="1"/>
  <c r="F36" s="1"/>
  <c r="H36" s="1"/>
  <c r="F32"/>
  <c r="F31" s="1"/>
  <c r="H31" s="1"/>
  <c r="F28"/>
  <c r="F27" s="1"/>
  <c r="H27" l="1"/>
  <c r="F341"/>
  <c r="H341" s="1"/>
  <c r="G58"/>
  <c r="H58" s="1"/>
  <c r="H53"/>
  <c r="H42"/>
  <c r="H34"/>
  <c r="H26" l="1"/>
  <c r="C11" i="13" s="1"/>
  <c r="H416" i="12"/>
  <c r="F528"/>
  <c r="H528" s="1"/>
  <c r="H527"/>
  <c r="H431" l="1"/>
  <c r="H415" s="1"/>
  <c r="C21" i="13" s="1"/>
  <c r="H901" i="12"/>
  <c r="F920"/>
  <c r="H920" s="1"/>
  <c r="H900" l="1"/>
  <c r="F807"/>
  <c r="F806" s="1"/>
  <c r="H806" s="1"/>
  <c r="F263" l="1"/>
  <c r="F261" s="1"/>
  <c r="F266"/>
  <c r="F338"/>
  <c r="F336" s="1"/>
  <c r="F335"/>
  <c r="F333" s="1"/>
  <c r="F331"/>
  <c r="F329" s="1"/>
  <c r="F265" l="1"/>
  <c r="H265" s="1"/>
  <c r="H261" l="1"/>
  <c r="F107"/>
  <c r="F106" s="1"/>
  <c r="H106" s="1"/>
  <c r="H73" s="1"/>
  <c r="C12" i="13" s="1"/>
  <c r="F532" i="12" l="1"/>
  <c r="F548"/>
  <c r="H548" s="1"/>
  <c r="H547"/>
  <c r="H536"/>
  <c r="H534"/>
  <c r="F403"/>
  <c r="H403" s="1"/>
  <c r="G532" l="1"/>
  <c r="H532" s="1"/>
  <c r="F301"/>
  <c r="F298"/>
  <c r="F294"/>
  <c r="F291"/>
  <c r="H531" l="1"/>
  <c r="C22" i="13" s="1"/>
  <c r="H241" i="12"/>
  <c r="H229"/>
  <c r="H336"/>
  <c r="H333"/>
  <c r="F224" l="1"/>
  <c r="H307" l="1"/>
  <c r="F306"/>
  <c r="F305" s="1"/>
  <c r="H305" s="1"/>
  <c r="F304"/>
  <c r="F303" s="1"/>
  <c r="H303" s="1"/>
  <c r="F300"/>
  <c r="H300" s="1"/>
  <c r="F299"/>
  <c r="F293"/>
  <c r="H293" s="1"/>
  <c r="F292"/>
  <c r="F308" l="1"/>
  <c r="H308" s="1"/>
  <c r="F318"/>
  <c r="H318" s="1"/>
  <c r="F289"/>
  <c r="F297"/>
  <c r="F302" s="1"/>
  <c r="H302" s="1"/>
  <c r="F220"/>
  <c r="F218" l="1"/>
  <c r="H289"/>
  <c r="F296"/>
  <c r="F295" s="1"/>
  <c r="H295" s="1"/>
  <c r="H297"/>
  <c r="F680"/>
  <c r="H680" s="1"/>
  <c r="H668" l="1"/>
  <c r="C26" i="13" s="1"/>
  <c r="F821" i="12"/>
  <c r="H821" s="1"/>
  <c r="F797"/>
  <c r="H797" s="1"/>
  <c r="H796" l="1"/>
  <c r="C30" i="13" s="1"/>
  <c r="F567" i="12"/>
  <c r="H567" s="1"/>
  <c r="F564"/>
  <c r="H564" s="1"/>
  <c r="F561"/>
  <c r="H561" s="1"/>
  <c r="F552"/>
  <c r="H552" s="1"/>
  <c r="F570"/>
  <c r="H570" s="1"/>
  <c r="F558"/>
  <c r="H558" s="1"/>
  <c r="F555"/>
  <c r="F578"/>
  <c r="H578" s="1"/>
  <c r="H577"/>
  <c r="H555" l="1"/>
  <c r="H551" s="1"/>
  <c r="C23" i="13" s="1"/>
  <c r="F652" i="12" l="1"/>
  <c r="H652" s="1"/>
  <c r="H651"/>
  <c r="F833"/>
  <c r="F826" s="1"/>
  <c r="H253"/>
  <c r="H581" l="1"/>
  <c r="C24" i="13" s="1"/>
  <c r="F825" i="12"/>
  <c r="F412" l="1"/>
  <c r="H412" s="1"/>
  <c r="H411"/>
  <c r="H402" s="1"/>
  <c r="C20" i="13" l="1"/>
  <c r="H218" i="12"/>
  <c r="H217" s="1"/>
  <c r="C14" i="13" l="1"/>
  <c r="F870" i="12"/>
  <c r="H870" l="1"/>
  <c r="H852" l="1"/>
  <c r="H825" l="1"/>
  <c r="H826"/>
  <c r="H824" l="1"/>
  <c r="H362" s="1"/>
  <c r="C31" i="13" l="1"/>
  <c r="C17" l="1"/>
  <c r="F360" i="12"/>
  <c r="H358"/>
  <c r="H360" l="1"/>
  <c r="H329"/>
  <c r="H284" s="1"/>
  <c r="C15" i="13" l="1"/>
  <c r="H357" i="12"/>
  <c r="H8" l="1"/>
  <c r="C16" i="13"/>
  <c r="C9" s="1"/>
  <c r="H883" i="12" l="1"/>
  <c r="H923" s="1"/>
  <c r="H925" s="1"/>
  <c r="C35" i="13"/>
  <c r="C33" s="1"/>
  <c r="C36" s="1"/>
</calcChain>
</file>

<file path=xl/sharedStrings.xml><?xml version="1.0" encoding="utf-8"?>
<sst xmlns="http://schemas.openxmlformats.org/spreadsheetml/2006/main" count="1801" uniqueCount="1020">
  <si>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</si>
  <si>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</si>
  <si>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</si>
  <si>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</si>
  <si>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</si>
  <si>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</si>
  <si>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</si>
  <si>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</si>
  <si>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</si>
  <si>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</si>
  <si>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</si>
  <si>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</si>
  <si>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</si>
  <si>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</si>
  <si>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</si>
  <si>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</si>
  <si>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</si>
  <si>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</si>
  <si>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</si>
  <si>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</si>
  <si>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</si>
  <si>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</si>
  <si>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</si>
  <si>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</si>
  <si>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</si>
  <si>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</si>
  <si>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</si>
  <si>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m3</t>
  </si>
  <si>
    <t>hod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</si>
  <si>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</si>
  <si>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</si>
  <si>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</si>
  <si>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</si>
  <si>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JKSO: 801.12.1.1</t>
  </si>
  <si>
    <t>Zakládání</t>
  </si>
  <si>
    <t>t</t>
  </si>
  <si>
    <t>Vodorovné konstrukce</t>
  </si>
  <si>
    <t>998</t>
  </si>
  <si>
    <t>Zemní práce</t>
  </si>
  <si>
    <t>PSV</t>
  </si>
  <si>
    <t>Práce a dodávky PSV</t>
  </si>
  <si>
    <t>Izolace proti vodě, vlhkosti a plynům</t>
  </si>
  <si>
    <t>%</t>
  </si>
  <si>
    <t xml:space="preserve">" Zednická výpomoc, doplňkové práce,kompletace apod." </t>
  </si>
  <si>
    <t>Izolace tepelné</t>
  </si>
  <si>
    <t>Svislé a kompletní konstrukce</t>
  </si>
  <si>
    <t>kus</t>
  </si>
  <si>
    <t>sada</t>
  </si>
  <si>
    <t>941</t>
  </si>
  <si>
    <t xml:space="preserve">" Venkovní lešení včetně ochranného zábradlí, podlahových zarážek, závětrování, zakrývání otvorů, prvků a konstrukcí proti znečištění a poškození." </t>
  </si>
  <si>
    <t>" Součástí ceny demontáže je zapravení otvorů po lešenářských kotvách systémovými ucpávkami a jejich povrchová úprava. "</t>
  </si>
  <si>
    <t>Montáž ochranné sítě z textilie z umělých vláken</t>
  </si>
  <si>
    <t>Demontáž ochranné sítě z textilie z umělých vláken</t>
  </si>
  <si>
    <t>944</t>
  </si>
  <si>
    <t>Montáž záchytné stříšky š přes 2,5 m</t>
  </si>
  <si>
    <t>m</t>
  </si>
  <si>
    <t>Demontáž záchytné stříšky š přes 2,5 m</t>
  </si>
  <si>
    <t>D+M+Dmt Lešení pomocné pracovní pro objekty pozemních staveb, výška lešeňové podlahy přes 1,9m do 3,5m</t>
  </si>
  <si>
    <t xml:space="preserve">" Intérierové lešení včetně ochranného zábradlí, podlahových zarážek, závětrování apod. " </t>
  </si>
  <si>
    <t>" V ceně náklady na dopravu, montáž, opotřebení, doby pronájmu lešení a demontáž lešení "</t>
  </si>
  <si>
    <t>Vyčištění budov bytové a občanské výstavby při výšce podlaží do 4 m</t>
  </si>
  <si>
    <t>9</t>
  </si>
  <si>
    <t>Ostatní konstrukce a práce-bourání</t>
  </si>
  <si>
    <t>Příplatek k ochranné síti za první a ZKD den použití</t>
  </si>
  <si>
    <t>Příplatek k záchytné stříšce š přes 2,5 m za první a ZKD den použití</t>
  </si>
  <si>
    <t>Podlahy povlakové</t>
  </si>
  <si>
    <t>HZS2331</t>
  </si>
  <si>
    <t>Hodinová zúčtovací sazba podlahář</t>
  </si>
  <si>
    <t>Podlahy z dlaždic</t>
  </si>
  <si>
    <t>" 1.NP "</t>
  </si>
  <si>
    <t>784</t>
  </si>
  <si>
    <t>Dokončovací práce - malby</t>
  </si>
  <si>
    <t>Základní akrylátová jednonásobná penetrace podkladu v místnostech výšky do 5,00m</t>
  </si>
  <si>
    <t>" V ceně zakrývání otvorů, konstrukcí a prvků proti znečištění "</t>
  </si>
  <si>
    <t>HZS2311</t>
  </si>
  <si>
    <t>Hodinová zúčtovací sazba malíř, natěrač, lakýrník</t>
  </si>
  <si>
    <t xml:space="preserve">"Stavební práce a dodávky spojené s provedením funkčního celku 784." </t>
  </si>
  <si>
    <t xml:space="preserve">" Zednická výpomoc,doplňkové práce,kompletace apod." </t>
  </si>
  <si>
    <t>Dvojnásobné bílé malby ze směsí za mokra výborně otěruvzdorných v místnostech výšky do 5,00 m</t>
  </si>
  <si>
    <t>Úpravy povrchu, podlahy, osazení</t>
  </si>
  <si>
    <t>011</t>
  </si>
  <si>
    <t>Polymercementový spojovací můstek vnitřních stěn nanášený ručně</t>
  </si>
  <si>
    <t>Dokončovací práce - obklady keramické</t>
  </si>
  <si>
    <t>REKAPITULACE</t>
  </si>
  <si>
    <t>Kód</t>
  </si>
  <si>
    <t xml:space="preserve">Cena celkem                       </t>
  </si>
  <si>
    <t>Konstrukce suché výstavby</t>
  </si>
  <si>
    <t>Malby</t>
  </si>
  <si>
    <t>Ostatní práce a dodávky</t>
  </si>
  <si>
    <t>Konstrukce tesařské</t>
  </si>
  <si>
    <t xml:space="preserve">"Stavební práce a dodávky spojené s provedením funkčního celku 762." </t>
  </si>
  <si>
    <t>762</t>
  </si>
  <si>
    <t>HZS2111</t>
  </si>
  <si>
    <t>Hodinová zúčtovací sazba tesař</t>
  </si>
  <si>
    <t>Konstrukce pokrývačské</t>
  </si>
  <si>
    <t>HZS2141</t>
  </si>
  <si>
    <t>Hodinová zúčtovací sazba pokrývač</t>
  </si>
  <si>
    <t xml:space="preserve">"Stavební práce a dodávky spojené s provedením funkčního celku 765." </t>
  </si>
  <si>
    <t>43-M</t>
  </si>
  <si>
    <t xml:space="preserve">Montáže ocelových konstrukcí </t>
  </si>
  <si>
    <t>M</t>
  </si>
  <si>
    <t>Práce a dodávky M</t>
  </si>
  <si>
    <t>65</t>
  </si>
  <si>
    <t>66</t>
  </si>
  <si>
    <t>Stavba:   Stavební úpravy objektu Gayerových kasáren vč. přístavby, Opletalova 334/2, Hradec Králové</t>
  </si>
  <si>
    <t>CS ÚRS 2018 01</t>
  </si>
  <si>
    <t xml:space="preserve">" Malba stropů 2.PP " </t>
  </si>
  <si>
    <t xml:space="preserve">" Oprava omítek stávajících stěn - 1.PP " </t>
  </si>
  <si>
    <t>" Malba stávajících stěn 2.PP " (13,3+12,9+19,7+16,2)*2,27</t>
  </si>
  <si>
    <t xml:space="preserve">CS ÚRS/TEO 2018 01 </t>
  </si>
  <si>
    <t>" 1.PP "</t>
  </si>
  <si>
    <t>Konstrukce zámečnické</t>
  </si>
  <si>
    <t>HZS2131</t>
  </si>
  <si>
    <t>Hodinová zúčtovací sazba zámečník</t>
  </si>
  <si>
    <t xml:space="preserve">"Stavební práce a dodávky spojené s provedením funkčního celku 767." </t>
  </si>
  <si>
    <t>76799901 SPC</t>
  </si>
  <si>
    <t>D+M Kopie původních mříží pro okno 1190x2360mm - Specifikace dle PD</t>
  </si>
  <si>
    <t>D+M Kopie původních mříží pro okno 970x2360mm - Specifikace dle PD</t>
  </si>
  <si>
    <t>76799902 SPC</t>
  </si>
  <si>
    <t>D+M Kopie původních mříží pro okno 1000x2360mm - Specifikace dle PD</t>
  </si>
  <si>
    <t>D+M Kopie původních mříží pro okno 880x1310mm - Specifikace dle PD</t>
  </si>
  <si>
    <t>D+M Kopie původních mříží pro okno 1160x1270mm - Specifikace dle PD</t>
  </si>
  <si>
    <t>D+M Kopie původních mříží pro okno 1160x1300mm - Specifikace dle PD</t>
  </si>
  <si>
    <t>D+M Kopie původních mříží pro okno 1160x1310mm - Specifikace dle PD</t>
  </si>
  <si>
    <t>76799903 SPC</t>
  </si>
  <si>
    <t>76799907 SPC</t>
  </si>
  <si>
    <t>" V ceně doprava a osazení mříží, kotvící prvky a povrchová úprava."</t>
  </si>
  <si>
    <t>Nátěry</t>
  </si>
  <si>
    <t>78399901 SPC</t>
  </si>
  <si>
    <t xml:space="preserve">D+M Nátěr kovových a ocelových prvků a konstrukcí včetně úpravy,očištění, základního a vrchního syntetického nátěru - Specifikace dle PD </t>
  </si>
  <si>
    <t>" Otryskání, nátěr, odstranění rzi a nečistot a úprava dotčených ocelových konstrukcí - zárubně, konzoly, brány, zábradlí, dvířka, mříže, žlaby, protidešťové žaluzie a ostatní kovové prvky. "</t>
  </si>
  <si>
    <t>HZS</t>
  </si>
  <si>
    <t xml:space="preserve">"Stavební práce a dodávky spojené s provedením funkčního celku 783." </t>
  </si>
  <si>
    <t xml:space="preserve">" 2.PP - 5.NP " </t>
  </si>
  <si>
    <t>Podlahy skládané</t>
  </si>
  <si>
    <t>775</t>
  </si>
  <si>
    <t xml:space="preserve">" Stavební práce a dodávky spojené s provedením funkčního celku 775 " </t>
  </si>
  <si>
    <t xml:space="preserve">" Ostatní náklady na demontáž, odstranění apod. mj.s vazbou na stávající okolní konstrukce "  </t>
  </si>
  <si>
    <t xml:space="preserve">" Oprava omítek stávajících stěn - 5.NP " </t>
  </si>
  <si>
    <t xml:space="preserve">" Oprava omítek stávajících stěn - 4.NP " </t>
  </si>
  <si>
    <t xml:space="preserve">" Oprava omítek stávajících stěn - 3.NP " </t>
  </si>
  <si>
    <t xml:space="preserve">" Oprava omítek stávajících stěn - 2.NP " </t>
  </si>
  <si>
    <t xml:space="preserve">" Oprava omítek stávajících stěn - 1.NP " </t>
  </si>
  <si>
    <t>" Odpočet bouraných stropů - 1.PP " (-17,25-30,29-29,22-17,02)*1,2</t>
  </si>
  <si>
    <t>" V ceně kotvící a spojovací prvk, impregnace proti dřevokazným škůdcům, povrchová úprava. "</t>
  </si>
  <si>
    <t>Montáž lešení řadového trubkového lehkého s podlahami zatížení do 200 kg/m2 š do 1,2 m v do 25 m</t>
  </si>
  <si>
    <t>(6,4+1,0*1+26,1+1,0*2+6,4+1,0*1)*(18,56+0,52)</t>
  </si>
  <si>
    <t>Příplatek k lešení řadovému trubkovému lehkému s podlahami š 1,2 m v 25 m za první a ZKD den použití</t>
  </si>
  <si>
    <t>Demontáž lešení řadového trubkového lehkého s podlahami zatížení do 200 kg/m2 š do 1,2 m v do 25 m</t>
  </si>
  <si>
    <t>2,5*2</t>
  </si>
  <si>
    <t>" Pronájem stříšky - odhad 6 měsíců. " 5*6*30</t>
  </si>
  <si>
    <t xml:space="preserve">" Vnitřní lešení 2.PP " </t>
  </si>
  <si>
    <t xml:space="preserve">" Čistý úklid 2.PP " </t>
  </si>
  <si>
    <t>Přesun hmot pro budovy zděné v do 36 m</t>
  </si>
  <si>
    <t xml:space="preserve">" Malba opravených omítek stávajících stěn - 1.PP " </t>
  </si>
  <si>
    <t xml:space="preserve">" Malba opravených omítek stávajících stěn - 1.NP " </t>
  </si>
  <si>
    <t xml:space="preserve">" Malba opravených omítek stávajících stěn - 2.NP " </t>
  </si>
  <si>
    <t xml:space="preserve">" Malba opravených omítek stávajících stěn - 3.NP " </t>
  </si>
  <si>
    <t xml:space="preserve">" Malba opravených omítek stávajících stěn - 4.NP " </t>
  </si>
  <si>
    <t>JKSO: 801.46.1.3</t>
  </si>
  <si>
    <t>" Odpočet bouraných stropů - 2.NP " (-6,90-4,53-6,38-31,64-7,10-13,31-10,59-2,82-2,54-12,36)*1,2</t>
  </si>
  <si>
    <t xml:space="preserve">" Malba opravených omítek stávajících stěn - 5.NP - Krov " </t>
  </si>
  <si>
    <t>Vysekání spojovací hmoty ze spár zdiva hl do 40 mm dl do 12 m/m2</t>
  </si>
  <si>
    <t xml:space="preserve">" Oprava komínového zdiva - 5.NP - Krov " </t>
  </si>
  <si>
    <t>Spárování zdiva aktivovanou maltou spára hl do 40 mm dl do 12 m/m2</t>
  </si>
  <si>
    <t>Úprava spár po spárování zdiva uhlazením spára dl do 12 m/m2</t>
  </si>
  <si>
    <t xml:space="preserve">" V ceně vyčištění spár. " </t>
  </si>
  <si>
    <t>Vápenocementová omítka štuková dvouvrstvá vnitřních stěn nanášená ručně</t>
  </si>
  <si>
    <t xml:space="preserve">" Malba nových omítek komínů - 5.NP - Krov " </t>
  </si>
  <si>
    <t>(92,4+1,0*2+28,7+1,0*2+14,4+1,0*2+20,7+1,0+21,4+18,7+17,2+1,0*1+14,5+1,0*2+28,7+1,0*2)*(14,71+0,52)</t>
  </si>
  <si>
    <t>" Pronájem lešení - odhad 6 měsíců. " 4910,83*6*30</t>
  </si>
  <si>
    <t>" Pronájem sítě - odhad 6 měsíců. " 4910,83*6*30</t>
  </si>
  <si>
    <t>Přesun hmot procentní pro kce tesařské v objektech v do 36 m</t>
  </si>
  <si>
    <t>76299901 SPC</t>
  </si>
  <si>
    <t>" Cena opravy krovu vztažena na půdorysnou plochu střechy. "</t>
  </si>
  <si>
    <t>765</t>
  </si>
  <si>
    <t>Přesun hmot procentní pro krytiny skládané v objektech v do 36 m</t>
  </si>
  <si>
    <t>76599901 SPC</t>
  </si>
  <si>
    <t>" Včetně kotvících prvků a veškerého příslušenství střešní krytiny (speciální tašky - okrajové, okapové, prostupové, protisněhové, ukončovací, nástavce, těsnící manžety, nasávací průběžný pás, odsávací otvory apod.)"</t>
  </si>
  <si>
    <t>Objekt:   D.1.1. ASŘ - NOVÝ STAV</t>
  </si>
  <si>
    <t>D.1.1. ASŘ - NOVÝ STAV</t>
  </si>
  <si>
    <t>D.1.1. ASŘ - NOVÝ STAV - CELKEM</t>
  </si>
  <si>
    <t>31599901 SPC</t>
  </si>
  <si>
    <t>D+M Dřevěné přístřešky před vstupem - Specifikace dle PD</t>
  </si>
  <si>
    <t>26,1+20,5</t>
  </si>
  <si>
    <t>" V ceně zemní práce, základové konstrukce, dřevěná konstrukce dle původního vzhledu, zastřešení, klempířské výrobky, výplně otvorů, napojení na stávající budovu a elektroinstalace včetně osvětlení. "</t>
  </si>
  <si>
    <t>" - Podkladní postřik "</t>
  </si>
  <si>
    <t>" - Vyrovnávací vrstva "</t>
  </si>
  <si>
    <t>" - Sanační omítka "</t>
  </si>
  <si>
    <t>622821002 RTO</t>
  </si>
  <si>
    <t>" Oprava nadstřešního komínového zdiva " (3,1+5,2+3,1+3,4+3,9+4,6+5,5+11,5+5,5+4,0+4,3+2,5+5,5+5,8+2,5+3,5+3,1+3,4+3,4+5,1+3,1)*2,2+(4,0+3,9+3,7+3,8+3,7+4,1+3,7+4,9+3,7)*3,3</t>
  </si>
  <si>
    <t>622325506 RTO</t>
  </si>
  <si>
    <t>" Nová sanační omítka. " (92,4+28,7+14,4+20,7+21,4+18,7+17,2+14,5+28,7+6,4+26,1+6,4)*1,0</t>
  </si>
  <si>
    <t xml:space="preserve">" Oprava fasády objektu. " </t>
  </si>
  <si>
    <t>" Výměra vztažena na pohledovou plochu fasády, do ceny nutno zahrnout plochy říms a zdobných prvků. " 2299,9+1543,7+445,9+459,6+264,2+315,3</t>
  </si>
  <si>
    <t xml:space="preserve">D+M Malba fasádní včetně penetrace - Specifikace dle PD </t>
  </si>
  <si>
    <t>" V ceně zakrývání otvorů, konstrukcí a prvků proti znečištění , doplňkové práce."</t>
  </si>
  <si>
    <t>" Nová malba fasády " 5328,6+295,6</t>
  </si>
  <si>
    <t>78399902 SPC</t>
  </si>
  <si>
    <t>HZS2151</t>
  </si>
  <si>
    <t>Hodinová zúčtovací sazba klempíř</t>
  </si>
  <si>
    <t>943</t>
  </si>
  <si>
    <t>43099901 SPC</t>
  </si>
  <si>
    <t>D+M Ocelových konstrukcí včetně nátěru a povchové úpravy - Specifikace dle PD</t>
  </si>
  <si>
    <t>kg</t>
  </si>
  <si>
    <t>" Cena obsahuje také kotvení ocelových konstrukcí pomocí navrtání, kotev, ocelových kotevních desek, patních a roznášecích plechů a chemického zakotvení."</t>
  </si>
  <si>
    <t>" Ocelová konstrukce výrobní skupiny EXC2 dle ČSN EN 1090, nosné ocelové prvky dle ČSN EN 10025+A1 z oceli S235. "</t>
  </si>
  <si>
    <t>" Vnitřní ocelové konstrukce otrýskány na stupeň Sa 2,5, povrchová úprava zákadním epoxidový nátěrem v min. tloušťce 80 µm a vrchní epoxidový nátěr v celkové min. tloušťce 120 µm."</t>
  </si>
  <si>
    <t>" Cena včetně opravy nátěru po montážních svarech, veškerý spojovací materiál z pozinkované oceli nebo opatřen antikorózní úpravou "</t>
  </si>
  <si>
    <t>HZS3121</t>
  </si>
  <si>
    <t>Hodinová zúčtovací sazba montér ocelových konstrukcí</t>
  </si>
  <si>
    <t xml:space="preserve">"Stavební práce a dodávky spojené s provedením funkčního celku M-43." </t>
  </si>
  <si>
    <t>Montované konstrukce – dřevostavby, sádrokartony</t>
  </si>
  <si>
    <t>763</t>
  </si>
  <si>
    <t>HZS2171</t>
  </si>
  <si>
    <t>Hodinová zúčtovací sazba sádrokartonář</t>
  </si>
  <si>
    <t xml:space="preserve">"Stavební práce a dodávky spojené s provedením funkčního celku 763." </t>
  </si>
  <si>
    <t>Přesun hmot procentní pro sádrokartonové konstrukce v objektech v do 36 m</t>
  </si>
  <si>
    <t>" Cena včetně hladkého zatmelení napojovacích spár mezi deskami na obou vrstvách, výztužné pásky, vytmelení připojovacích spár, lemujících profilů, spojovacího a kotvícího materiálu. "</t>
  </si>
  <si>
    <t>" Součástí nosné profily / dřevoštěpkové desky pro zařizovací předměty. "</t>
  </si>
  <si>
    <t>SDK příčka tl 100 mm profil CW+UW 50 desky 2xH2DF 12,5 TI 40 mm EI 90 Rw 50 dB</t>
  </si>
  <si>
    <t>" S vloženou tepelnou izolací tl. 40mm, s jednoduchými ocel.profily "</t>
  </si>
  <si>
    <t>" Příčka v 2.PP "</t>
  </si>
  <si>
    <t>SDK příčka základní penetrační nátěr</t>
  </si>
  <si>
    <t>Zhutnění podloží z hornin soudržných do 92% PS nebo nesoudržných sypkých I(d) do 0,8</t>
  </si>
  <si>
    <t>" Cena zahrnuje veškeré systémové prvky ( těsnící profily, bobtnající pásy, pohledové lišty, dilatační krycí lišty apod.). "</t>
  </si>
  <si>
    <t>Výztuž základových desek betonářskou ocelí 10 505 ®</t>
  </si>
  <si>
    <t>" Základová deska dojezdu výtahu. " (1,85*2,45+3,65*3,1)*0,500*1,05</t>
  </si>
  <si>
    <t>" Bednění základové desky dojezdu výtahu." (2,45+1,85+1,2+3,1+3,65+4,95)*0,500</t>
  </si>
  <si>
    <t>Zřízení bednění základových desek</t>
  </si>
  <si>
    <t>Odstranění bednění základových desek</t>
  </si>
  <si>
    <t>" Nový základový pás pod nosnou stěnou. " 5,5*0,5*1,0*1,05</t>
  </si>
  <si>
    <t>Zřízení bednění základových pasů rovného</t>
  </si>
  <si>
    <t>Odstranění bednění základových pasů rovného</t>
  </si>
  <si>
    <t>Výztuž základových pásů betonářskou ocelí 10 505 ®</t>
  </si>
  <si>
    <t>" Bednění základové desky dojezdu výtahu." 5,5*1,0*2</t>
  </si>
  <si>
    <t>" Stěny dojezdu výtahu. " 5,95*1,05</t>
  </si>
  <si>
    <t>Zřízení oboustranného bednění základových zdí</t>
  </si>
  <si>
    <t>Odstranění oboustranného bednění základových zdí</t>
  </si>
  <si>
    <t>Výztuž základových zdí nosných betonářskou ocelí 10 505</t>
  </si>
  <si>
    <t>" Bednění stěn dojezdu výtahu." (2,85+3,65+3,15+2,85)*1,25*2+(1,95+1,85+1,85)*1,06*2</t>
  </si>
  <si>
    <t>28399901 SPC</t>
  </si>
  <si>
    <t>" V položce zahrnuto naložení, odvoz sypaniny z uzavřených prostor, složení a rozprostření sypaniny, hrubé terénní úpravy, likvidace v souladu se zákonem č. 185/2001 Sb., o odpadech, dle technologie a místa určené zhotovitelem, včetně poplatků za uložení sypaniny "</t>
  </si>
  <si>
    <t>014</t>
  </si>
  <si>
    <t>Ruční dočištění ploch líce kleneb a podhledů ocelových kartáči</t>
  </si>
  <si>
    <t>" Očištění stávajícího základu před podbetonováním " (4,5+5,0)*1,0</t>
  </si>
  <si>
    <t>" Postupné podbetonování stávajícího základu u výtahové šachty. " (4,5+5,0)*1,0*1,4*1,05</t>
  </si>
  <si>
    <t>" Bednění podbetonování stávajícího základu." (4,5+5,0)*1,4</t>
  </si>
  <si>
    <t>Postupné podbetonování základového zdiva prostým betonem tř. C 16/20, XC2, XA1</t>
  </si>
  <si>
    <t>Výztuž nosných zdí betonářskou ocelí 10 505</t>
  </si>
  <si>
    <t>Nosná zeď ze ŽB tř. C 25/30, XC1 bez výztuže</t>
  </si>
  <si>
    <t>Zřízení oboustranného bednění nosných nadzákladových zdí</t>
  </si>
  <si>
    <t>Odstranění oboustranného bednění nosných nadzákladových zdí</t>
  </si>
  <si>
    <t>Zdivo jednovrstvé z cihel děrovaných do P10 na maltu M5 tl 240 mm</t>
  </si>
  <si>
    <t xml:space="preserve">" Stěny 1.PP. " </t>
  </si>
  <si>
    <t>Zdivo jednovrstvé zvukově izolační na cementovou maltu M10 z cihel děrovaných P15 tloušťky 250 mm</t>
  </si>
  <si>
    <t>" Příčka v 1.PP "</t>
  </si>
  <si>
    <t>SDK stěna předsazená tl 100 mm profil CW+UW 75 desky 2xH2DF 12,5 TI 50 mm 50 kg/m3 EI 45 - Specifikace dle PD</t>
  </si>
  <si>
    <t>" S vloženou tepelnou izolací tl. 50mm, s jednoduchými ocel.profily "</t>
  </si>
  <si>
    <t xml:space="preserve">763121467 RTO </t>
  </si>
  <si>
    <t>SDK stěna předsazená tl 150 mm profil CW+UW 100 desky 2xH2DF 12,5 TI 50 mm 50 kg/m3 EI 45 - Specifikace dle PD</t>
  </si>
  <si>
    <t xml:space="preserve">" Předstěna v 1.PP " </t>
  </si>
  <si>
    <t xml:space="preserve">7631214671 RTO </t>
  </si>
  <si>
    <t>SDK stěna předsazená základní penetrační nátěr</t>
  </si>
  <si>
    <t>" Cena včetně SDK desek, nosných profilů, závěsů, lemujících a ukončujících lišt, spojovacího a kotvícího materiálu. "</t>
  </si>
  <si>
    <t xml:space="preserve">" SDK podhled 1.PP " </t>
  </si>
  <si>
    <t>SDK podhled základní penetrační nátěr</t>
  </si>
  <si>
    <t>784211103 RTO</t>
  </si>
  <si>
    <t>Dvojnásobné bílé malby ze směsí za mokra výborně otěruvzdorných v místnostech výšky do 5,00 m - vhodná na SDK konstrukce</t>
  </si>
  <si>
    <t>Očištění ploch stěn, rubu kleneb a podlah tlakovou vodou</t>
  </si>
  <si>
    <t>" Očištění stávající betonové podlahy 1.PP " 71,3+10,1+41,9</t>
  </si>
  <si>
    <t>783</t>
  </si>
  <si>
    <t>78399903 SPC</t>
  </si>
  <si>
    <t>D+M Bezprašný epoxidový nátěr podlah, dvojnásobný - Specifikace dle PD</t>
  </si>
  <si>
    <t>711</t>
  </si>
  <si>
    <t>711412053 RTO</t>
  </si>
  <si>
    <t>D+M Hydroizolační stěrka výtahové šachty - Specifikace dle PD - Skladba P3</t>
  </si>
  <si>
    <t>HZS2161</t>
  </si>
  <si>
    <t>Hodinová zúčtovací sazba izolatér</t>
  </si>
  <si>
    <t xml:space="preserve">"Stavební práce a dodávky spojené s provedením funkčního celku 711." </t>
  </si>
  <si>
    <t>" Hydroizolační stěrka vhodná do výtahových šachet. "  (3,2+8,2)*1,05+(1,95*2+1,6*2+2,6*2+3,15*2)*1,4</t>
  </si>
  <si>
    <t>Přesun hmot procentní pro izolace proti vodě, vlhkosti a plynům v objektech v do 60 m</t>
  </si>
  <si>
    <t>790999301 SPC</t>
  </si>
  <si>
    <t>D+M Bezpečnostní a výstražné zařízení, bezpečnostní a ochranné prvky                                  - Specifikace dle PD</t>
  </si>
  <si>
    <t>790999302 SPC</t>
  </si>
  <si>
    <t>D+M Orientační a informativní systém interiér - Specifikace dle PD</t>
  </si>
  <si>
    <t>790</t>
  </si>
  <si>
    <t>998790201 RTO</t>
  </si>
  <si>
    <t>HZS2492</t>
  </si>
  <si>
    <t>Hodinová zúčtovací sazba pomocný dělník PSV</t>
  </si>
  <si>
    <t xml:space="preserve">"Stavební práce a dodávky spojené s provedením funkčního celku 790" </t>
  </si>
  <si>
    <t>790999303 SPC</t>
  </si>
  <si>
    <t>Přesun hmot procentní pro ostatní výrobky v objektech v do 36 m</t>
  </si>
  <si>
    <t>33-M</t>
  </si>
  <si>
    <t>Montáže dopr.zaříz.,sklad. zař. a váh</t>
  </si>
  <si>
    <t>933</t>
  </si>
  <si>
    <t>33099901 SPC</t>
  </si>
  <si>
    <t>33099902 SPC</t>
  </si>
  <si>
    <t>HZS3241</t>
  </si>
  <si>
    <t>Hodinová zúčtovací sazba montér výtahář</t>
  </si>
  <si>
    <t xml:space="preserve">"Stavební práce a dodávky spojené s provedením funkčního celku M-33." </t>
  </si>
  <si>
    <t>D+M Osobní výtah, počet osob 15, rychlost 1,0 m/s - Specifikace dle PD</t>
  </si>
  <si>
    <t>D+M Nákladní výtah, počet osob 15, rychlost 1,0 m/s - Specifikace dle PD</t>
  </si>
  <si>
    <t>" Vybavení výtahu : ovládací panel, obložení kabiny nerezovým plechem, rozvaděč, ovládací panely na nástupištích, kartový systém, univerzální dorozumívací zařízení, polohová a směrová signalizace, tlačítko otevření a zavření dveří, zrcadlo, madlo, hlasový modul, sedátko, napojení na EPS, sign. přetížení apod. "</t>
  </si>
  <si>
    <t>Podlahy lité</t>
  </si>
  <si>
    <t xml:space="preserve">D+M Příprava podkladu před litými podlahami - Specifikace dle PD                                             </t>
  </si>
  <si>
    <t>777</t>
  </si>
  <si>
    <t xml:space="preserve">"Stavební práce a dodávky spojené s provedením funkčního celku 777" </t>
  </si>
  <si>
    <t xml:space="preserve">" Zednická výpomoc,doplňkové práce,kompletace,zřízení prostupů,zapravení prostupů, apod." </t>
  </si>
  <si>
    <t>Přesun hmot procentní pro podlahy lité v objektech v do 36 m</t>
  </si>
  <si>
    <t>" Skladba podlahy: "</t>
  </si>
  <si>
    <t>" V ceně také vytažení stěrky na obvodové zdivo - vytvoření fabionu, ukončovací , přechodové a dilatační lišty, podlahové pásky po obvodu místnosti."</t>
  </si>
  <si>
    <t>777999101 SPC</t>
  </si>
  <si>
    <t>" - Vyčištění podkladu, vyspravení, vyrovnání, broušení, odstranění nerovností, penetrace apod."</t>
  </si>
  <si>
    <t>77199901 SPC</t>
  </si>
  <si>
    <t xml:space="preserve">D+M Příprava podkladu před pokládkou dlažby - Specifikace dle PD                                             </t>
  </si>
  <si>
    <t>" - Vyčištění podkladu, vyspravení, vyrovnání, odstranění nerovností apod."</t>
  </si>
  <si>
    <t>Příplatek k montáž podlah keramických za plochu do 5 m2</t>
  </si>
  <si>
    <t>Příplatek k montáž podlah keramických za spárování tmelem dvousložkovým</t>
  </si>
  <si>
    <t>Podlahy penetrace podkladu</t>
  </si>
  <si>
    <t xml:space="preserve">"Stavební práce a dodávky spojené s provedením funkčního celku 771." </t>
  </si>
  <si>
    <t>771999101 SPC</t>
  </si>
  <si>
    <t>" V ceně také ukončovací , přechodové lišty z nerezových profilů s dilatační zónou, dilatační dvousložkové plastové profily, podlahové pásky po obvodu místností a keramický sokl v. 80mm."</t>
  </si>
  <si>
    <t>" Cena zahrnuje flexibilní lepidlo, spárovací hmotu a pružný tmel pro dilatace. "</t>
  </si>
  <si>
    <t xml:space="preserve">" Podklad pod nové omítky komínového zdiva - 5.NP - Krov." </t>
  </si>
  <si>
    <t xml:space="preserve">" Nová omítka komínového zdiva - 5.NP - Krov." </t>
  </si>
  <si>
    <t>78399904 SPC</t>
  </si>
  <si>
    <t>D+M Bezprašný nátěr stěn, dvojnásobný - Specifikace dle PD</t>
  </si>
  <si>
    <t>781</t>
  </si>
  <si>
    <t>781471113 RTO</t>
  </si>
  <si>
    <t>D+M Obklad vnitřní keramický - Specifikace dle PD</t>
  </si>
  <si>
    <t>" V ceně hliníkové profily rohové,ukončovací a přechodové, také spárování vodoodpudivou epoxidovou hmotou a tenkovrstvé flexibilní lepidlo. Součástí dodávky je těsnící flexibilní pás stěna/podlaha a silikování koutů  "</t>
  </si>
  <si>
    <t>Příplatek k montáži obkladů vnitřních keramických hladkých za spárování tmelem dvousložkovým</t>
  </si>
  <si>
    <t>Penetrace podkladu vnitřních obkladů</t>
  </si>
  <si>
    <t>HZS2321</t>
  </si>
  <si>
    <t>Hodinová zúčtovací sazba obkladač</t>
  </si>
  <si>
    <t xml:space="preserve">"Stavební práce a dodávky spojené s provedením funkčního celku 781." </t>
  </si>
  <si>
    <t>Přesun hmot procentní pro obklady keramické v objektech v do 36 m</t>
  </si>
  <si>
    <t xml:space="preserve">" Penetrace podkladu pro vnitřní  obklady " </t>
  </si>
  <si>
    <t>D+M Sanace krovu - odborné restaurování  - Specifikace dle PD</t>
  </si>
  <si>
    <t>D+M Sanace dřevěných trámových stropů - Specifikace dle PD</t>
  </si>
  <si>
    <t>" Cena opravy vztažena na půdorysnou plochu dřevěných stropů. " 570,3+607,6+414,4</t>
  </si>
  <si>
    <t>76299902 SPC</t>
  </si>
  <si>
    <t>" Cena zahrnuje veškeré systémové prvky ( těsnící profily, bobtnající pásy, pohledové lišty, dilatační krycí lišty apod.) "</t>
  </si>
  <si>
    <t>Zřízení bednění ztužujících věnců</t>
  </si>
  <si>
    <t>Odstranění bednění ztužujících věnců</t>
  </si>
  <si>
    <t>Výztuž ztužujících pásů a věnců betonářskou ocelí 10 505</t>
  </si>
  <si>
    <t xml:space="preserve">" V ceně přivaření příčníků k nosníkům, zabetonování průvrtů, vzájemné spojení spodní hrany nosníků páskami PLO 60x8mm po 500mm apod." </t>
  </si>
  <si>
    <t xml:space="preserve">" SDK podhled 1.NP " </t>
  </si>
  <si>
    <t>" Součástí napojení dešťových svodů na nové lapače střešních splavenin a na stávající dešťovou kanalizaci. "</t>
  </si>
  <si>
    <t>33099903 SPC</t>
  </si>
  <si>
    <t>D+M Zvedací výšková plošina - Specifikace dle PD</t>
  </si>
  <si>
    <t>" Odpočet bouraných stropů - 3.NP " (-21,92-5,86-12,04-15,59-16,37-17,92-2,9-10,53-2,89-2,81-13,83)*1,2</t>
  </si>
  <si>
    <t>" Odpočet bouraných stropů - 4.NP " (-8,67-3,96-5,12-36,99)*1,2</t>
  </si>
  <si>
    <t>" Odpočet bouraných stropů - 1.NP " (-19,0-31,97-20,89-10,77-2,8-2,55-6,46-7,11)*1,2</t>
  </si>
  <si>
    <t xml:space="preserve">" 2.PP - 4.NP " </t>
  </si>
  <si>
    <t>78399905 SPC</t>
  </si>
  <si>
    <t xml:space="preserve">D+M Nátěr ocelových roštů a poklopů včetně úpravy, očištění, základního a vrchního syntetického nátěru - Specifikace dle PD </t>
  </si>
  <si>
    <t>" Očištění, otryskání, odstranění rzi a nečistot, potřebná oprava / úprava uchycení v nové podlaze. V ceně nový nátěr nosníků. "</t>
  </si>
  <si>
    <t>" Očištění, otryskání, odstranění rzi a nečistot, potřebná oprava / úprava uchycení v nové podlaze. V ceně nový nátěr roštů / poklopů. "</t>
  </si>
  <si>
    <t>" 1.PP " 1,0*0,8*2+3,9+5,9+0,4*2</t>
  </si>
  <si>
    <t>78399906 SPC</t>
  </si>
  <si>
    <t>" Doplnění podlahy 1.PP po položení svodného kanalizačního potrubí " 113,9*1,0</t>
  </si>
  <si>
    <t>D+M Trysková injektáž - Specifikace dle PD</t>
  </si>
  <si>
    <t>" Hutnění pod dojezd výtahu a základový pás pod 1.PP " 1,85*2,45+3,65*3,1+5,5*0,5</t>
  </si>
  <si>
    <t>Podkladní nebo výplňová vrstva z betonu C 12/15 - X0 tl do 100 mm</t>
  </si>
  <si>
    <t>" Podkladní beton pod základovou deskou výtahu a základovým pasem. " 1,85*2,45+3,65*3,1+5,5*0,5</t>
  </si>
  <si>
    <t>31599902 SPC</t>
  </si>
  <si>
    <t>" Zajištění pilíře v 1.PP " (0,950*2+0,730*2)*3,5</t>
  </si>
  <si>
    <t xml:space="preserve">" V ceně navaření pásků k nárožníkům a protipožární nátěr prvků." </t>
  </si>
  <si>
    <t>001</t>
  </si>
  <si>
    <t>Čerpání vody na dopravní výšku do 10 m průměrný přítok do 500 l/min</t>
  </si>
  <si>
    <t>Pohotovost čerpací soupravy pro dopravní výšku do 10 m přítok do 500 l/min</t>
  </si>
  <si>
    <t>den</t>
  </si>
  <si>
    <t>Dočasné zajištění potrubí ocelového nebo litinového DN do 200</t>
  </si>
  <si>
    <t>119001421</t>
  </si>
  <si>
    <t>Dočasné zajištění kabelů a kabelových tratí ze 3 volně ložených kabelů</t>
  </si>
  <si>
    <t>Hloubení jam nezapažených v hornině tř. 3 objemu do 100 m3, včetně naložení výkopku</t>
  </si>
  <si>
    <t>Příplatek za lepivost u hloubení jam nezapažených v hornině tř. 3</t>
  </si>
  <si>
    <t>Hloubení jam nezapažených v hornině tř. 4 objemu do 100 m3, včetně naložení výkopku</t>
  </si>
  <si>
    <t>" Hloubení jámy pro opěrnou stěnu - 50 % z celkové kubatury " 3,7*(4,1+3,2+0,6+7,1)*0,50</t>
  </si>
  <si>
    <t>" Lepivost - 50 % "  27,75*0,5</t>
  </si>
  <si>
    <t>Příplatek za lepivost u hloubení jam nezapažených v hornině tř. 4</t>
  </si>
  <si>
    <t>Svislé přemístění výkopku z horniny tř. 1 až 4 hl výkopu do 2,5 m</t>
  </si>
  <si>
    <t>27,75+27,75</t>
  </si>
  <si>
    <t>Zásyp jam, šachet rýh nebo kolem objektů sypaninou se zhutněním</t>
  </si>
  <si>
    <t>" Zásyp po realizaci opěrné stěny zeminou z výkopů " 3,7*(4,1+3,2+0,6+7,1)</t>
  </si>
  <si>
    <t>" Hutnění pod opěrnou stěnou " (4,1+3,2+0,6+5,1)*1,5+3,1*4,4</t>
  </si>
  <si>
    <t>" Podkladní beton pod opěrnou stěnou. " (4,1+3,2+0,6+5,1)*1,5+3,1*4,4</t>
  </si>
  <si>
    <t>Bednění opěrných zdí a valů svislých i skloněných zřízení</t>
  </si>
  <si>
    <t>Bednění opěrných zdí a valů svislých i skloněných odstranění</t>
  </si>
  <si>
    <t>Výztuž opěrných zdí a valů D 12 mm z betonářské oceli 10 505</t>
  </si>
  <si>
    <t>327323127 RTO</t>
  </si>
  <si>
    <t>" Opěrná stěna." 1,2*0,3*(4,1+3,2+0,6+5,1)*1,05+(2,8*4,4)*0,300*1,05+2,25*0,200*(4,1+3,2+0,6+7,1)*1,05+1,8*0,200*4,2*1,05</t>
  </si>
  <si>
    <t>" Bednění opěrné stěny." 0,3*(4,1+3,2+0,6+5,1)*2+(2,8*2+4,4*2)*0,300+2,25*(4,1+3,2+0,6+7,1)*2+1,8*4,2*2</t>
  </si>
  <si>
    <t>431</t>
  </si>
  <si>
    <t>" Cena zahrnuje veškeré systémové prvky (těsnící profily, bobtnající pásy, pohledové lišty, dilatační krycí lišty apod.) "</t>
  </si>
  <si>
    <t>434</t>
  </si>
  <si>
    <t>Zřízení bednění stupňů přímočarých schodišť</t>
  </si>
  <si>
    <t>Odstranění bednění stupňů přímočarých schodišť</t>
  </si>
  <si>
    <t>430</t>
  </si>
  <si>
    <t>Výztuž schodišťové konstrukce a rampy betonářskou ocelí 10 505</t>
  </si>
  <si>
    <t>430321414 RTO</t>
  </si>
  <si>
    <t>Zřízení bednění podest schodišť a ramp přímočarých v do 4 m</t>
  </si>
  <si>
    <t>Odstranění bednění podest schodišť a ramp přímočarých v do 4 m</t>
  </si>
  <si>
    <t>" Schodiště venkovní  " 1,5*0,174*8</t>
  </si>
  <si>
    <t>D+M Nátěr pohledového betonu - Specifikace dle PD</t>
  </si>
  <si>
    <t xml:space="preserve">" Úprava povrchu venkovního pohledového betonu. Nátěr ochranný, protiprašný, bezbarvý, paropropustný, omyvatelný." </t>
  </si>
  <si>
    <t>78399907 SPC</t>
  </si>
  <si>
    <t>" Nátěr venkovní opěrné stěny " (4,1+3,2+0,6+7,1)*(1,84+0,200+0,200)+2,3*1,5+ 1,5*0,174*8+4,4*(1,8+0,200)</t>
  </si>
  <si>
    <t>978</t>
  </si>
  <si>
    <t>97899943 SPC</t>
  </si>
  <si>
    <t>Náklady spojené s odvozem sypaniny na meziskládku</t>
  </si>
  <si>
    <t xml:space="preserve">" V položce zahrnut odvoz zeminy na meziskládku a její složení " </t>
  </si>
  <si>
    <t>Náklady spojené s dovozem sypaniny z meziskládky pro zpětné použití</t>
  </si>
  <si>
    <t>97899940 SPC</t>
  </si>
  <si>
    <t>" Naložení ulehlé zeminy z meziskládky "</t>
  </si>
  <si>
    <t>" Doprava zeminy z mezidkládky do vzdálenosti 500 m "</t>
  </si>
  <si>
    <t xml:space="preserve">" Složení zeminy " </t>
  </si>
  <si>
    <t xml:space="preserve">" V položce zahrnuto naložení, dovoz sypaniny z meziskládky a její složení "  </t>
  </si>
  <si>
    <t xml:space="preserve">" Zpětné přemístění zeminy pro zásyp opěrné stěny. " </t>
  </si>
  <si>
    <t>Výplň dilatačních spár z pěnového polystyrénu tl 20 mm</t>
  </si>
  <si>
    <t>" Dilatace opěrné stěny. " 2,7*1,1</t>
  </si>
  <si>
    <t>" Dilatace opěrné stěny. " 21,0*1,1</t>
  </si>
  <si>
    <t>711999001 SPC</t>
  </si>
  <si>
    <t>D+M Opatření podzemních částí opěrné stěny asfaltovou hydroizolací a ochrannou geotextílii - Specifikace dle PD</t>
  </si>
  <si>
    <t>" Ochrana podzemních části opěrné stěny  - skladba :</t>
  </si>
  <si>
    <t>" V ceně kotvící a spojovací prvky jednotlivých vrstev, dilatační asfaltové smyčky. "</t>
  </si>
  <si>
    <t>" Ochrana podzemních části opěrné zdi  " (4,1+3,2+0,6+7,1)*(2,25*2+0,300*2+1,0)+4,4*(0,300*3+0,400+0,200+1,8)+2,9*1,0</t>
  </si>
  <si>
    <t>" - Geotextilie netkaná - 125,3m2 "</t>
  </si>
  <si>
    <t>" - Asfaltová hydroizolace - 125,3m2 "</t>
  </si>
  <si>
    <t>" - Penetrační nátěr pod asfaltovou HI - 125,3m2 "</t>
  </si>
  <si>
    <t>D+M Keramická dlažba - Podlaha 1.PP - Specifikace dle PD - Skladba P2</t>
  </si>
  <si>
    <t>D+M Ocelová podlaha - Podlaha 1.PP - Specifikace dle PD  - Skladba P3</t>
  </si>
  <si>
    <t>" Ocelový žebrovaný plech, doplnění nové podlahy, protiskluzový, válcovaný za studena, výška vzoru 1mm."</t>
  </si>
  <si>
    <t>43099902 SPC</t>
  </si>
  <si>
    <t>777999102 SPC</t>
  </si>
  <si>
    <t>" 2.NP "</t>
  </si>
  <si>
    <t>" 3.NP "</t>
  </si>
  <si>
    <t>771999102 SPC</t>
  </si>
  <si>
    <t>Přesun hmot procentní pro podlahy z dlaždic v objektech v do 36 m</t>
  </si>
  <si>
    <t>Přesun hmot procentní pro zámečnické konstrukce v objektech v do 36 m</t>
  </si>
  <si>
    <t>77799903 SPC</t>
  </si>
  <si>
    <t>Přesun hmot procentní pro podlahy povlakové v objektech v do 36 m</t>
  </si>
  <si>
    <t xml:space="preserve">"Stavební práce a dodávky spojené s provedením funkčního celku 776" </t>
  </si>
  <si>
    <t xml:space="preserve">D+M Příprava podkladu před povlakovými podlahami - Specifikace dle PD                                             </t>
  </si>
  <si>
    <t>776</t>
  </si>
  <si>
    <t>776999102 SPC</t>
  </si>
  <si>
    <t>" V ceně také ukončovací , přechodové lišty z nerezových profilů s dilatační zónou, dilatační dvousložkové plastové profily, podlahové pásky po obvodu místností a vytvoření soklu."</t>
  </si>
  <si>
    <t>" Cena zahrnuje flexibilní lepidlo. "</t>
  </si>
  <si>
    <t>777999103 SPC</t>
  </si>
  <si>
    <t>776999101 SPC</t>
  </si>
  <si>
    <t>D+M Keramická dlažba - Podlaha 1.NP, 2.NP, 3.NP, 4.NP - Specifikace dle PD  - Skladba P5</t>
  </si>
  <si>
    <t>" 4.NP "</t>
  </si>
  <si>
    <t>D+M Vinyl - Podlaha 1.NP, 2.NP, 3.NP, 4.NP - Specifikace dle PD  - Skladba P6</t>
  </si>
  <si>
    <t>D+M Vinyl - Výměna násypu na klenbě - Podlaha 1.NP - Specifikace dle PD  - Skladba P8</t>
  </si>
  <si>
    <t>771999103 SPC</t>
  </si>
  <si>
    <t>D+M Keramická dlažba - Nová stropní konstrukce - Podlaha 1.NP, 2.NP, 3.NP, 4.NP, 5.NP - Specifikace dle PD  - Skladba P9</t>
  </si>
  <si>
    <t>" 5.NP "</t>
  </si>
  <si>
    <t>771999104 SPC</t>
  </si>
  <si>
    <t>D+M Keramická dlažba - Schodišťová podesta a stupně - Specifikace dle PD - Skladba P10</t>
  </si>
  <si>
    <t>767</t>
  </si>
  <si>
    <t>767999902 SPC</t>
  </si>
  <si>
    <t>D+M Zdvojená podlaha - Specifikace dle PD - Skladba P11</t>
  </si>
  <si>
    <t>" Cena včetně nosné konstrukce podlahy a svislých rektifikovatelných sloupků s antikorózní úpravou/protipožární nátěr, plastových podložek, zajištění profilů proti klopení, nášlapných panelů s jádrem z dřevotřískové desky, nášlapná vrstva z nerezového slzičkového plechu, spodní strana desky ocelový plech. "</t>
  </si>
  <si>
    <t>" Součástí atypické desky pro prostup kabelů, lištového systému, podložek apod. Spoučástí kotvení a spojovací prvky podlahy, lepící hmoty, penetrace podkladu a veškerá příslušenství. "</t>
  </si>
  <si>
    <t>76799904 SPC</t>
  </si>
  <si>
    <t>76799905 SPC</t>
  </si>
  <si>
    <t>76799906 SPC</t>
  </si>
  <si>
    <t>D+M Vinyl - Nová stropní konstrukce - Podlaha 3.NP, 4.NP - Specifikace dle PD                                         - Skladba P13</t>
  </si>
  <si>
    <t>775999101 SPC</t>
  </si>
  <si>
    <t>D+M Cementotřísková deska - Zateplení podlahy půdy - Podlaha 4.NP, 5.NP - Specifikace dle PD  - Skladba P14</t>
  </si>
  <si>
    <t>" - Stávající laťování. "</t>
  </si>
  <si>
    <t>" Nátěr stávajících betonových podlah 2.PP " 211,1+19,8</t>
  </si>
  <si>
    <t>009</t>
  </si>
  <si>
    <t>D+M Doplnění podlahy včetně přípravy podkladu - Specifikace dle PD</t>
  </si>
  <si>
    <t xml:space="preserve">" V ceně soklové lišty, lepidlo, kotvcící a spojovací prvky, vyčištění podkladu, vyrovnání, vyspravení, obroušení, podložka apod. " </t>
  </si>
  <si>
    <t xml:space="preserve">" Doplnění nášlapných a podkladních vrstev podlahy, roznášecích vrstev, izolačních apod. dle původního stavu. " </t>
  </si>
  <si>
    <t xml:space="preserve">" Doplnění podlahy po bouracích pracech 2.PP " </t>
  </si>
  <si>
    <t>" Malba SDK příček 2.PP " 23,3*2</t>
  </si>
  <si>
    <t>SDK podhled deska 1xDF 15 bez TI jednovrstvá spodní kce profil CD+UD</t>
  </si>
  <si>
    <t>SDK obklad kovových kcí uzavřeného tvaru š do 0,8 m desky 2xDF 12,5</t>
  </si>
  <si>
    <t xml:space="preserve">" Opláštění ocelových sloupů v 2.PP " </t>
  </si>
  <si>
    <t xml:space="preserve">" Oprava omítek stávajících stěn - 2.PP " </t>
  </si>
  <si>
    <t xml:space="preserve">" Malba opravených omítek stávajících stěn - 2.PP " </t>
  </si>
  <si>
    <t>" Vnitřní lešení 1.PP " 71,55+10,01+41,48+50,22+37,68+18,12+18,86+5,19+11,27+3,31+11,28+3,31+17,81+27,06+33,35+33,04+45,13+75,62+38,29+86,96+18,54+230,05+80,69+12,35+2,69+2,69+6,95+6,30+7,97+70,18+8,41+14,17+10,06+2,21+15,79+8,45+2,89+2,0+1,58+1,96+1,58+3,12+8,35</t>
  </si>
  <si>
    <t>" Čistý úklid 1.PP " 71,55+10,01+41,48+50,22+37,68+18,12+18,86+5,19+11,27+3,31+11,28+3,31+17,81+27,06+33,35+33,04+45,13+75,62+38,29+86,96+18,54+230,05+80,69+12,35+2,69+2,69+6,95+6,30+7,97+70,18+8,41+14,17+10,06+2,21+15,79+8,45+2,89+2,0+1,58+1,96+1,58+3,12+8,35</t>
  </si>
  <si>
    <t>" Nátěr stávajících betonových podlah 1.PP " 71,55+10,01+7,97</t>
  </si>
  <si>
    <t xml:space="preserve">" Doplnění podlahy po bouracích pracech 1.PP " </t>
  </si>
  <si>
    <t>Podlahy z kamene</t>
  </si>
  <si>
    <t xml:space="preserve">"Stavební práce a dodávky spojené s provedením funkčního celku 772." </t>
  </si>
  <si>
    <t>Přesun hmot procentní pro podlahy z kamene v objektech v do 60 m</t>
  </si>
  <si>
    <t>Přesun hmot procentní pro podlahy dřevěné v objektech v do 36 m</t>
  </si>
  <si>
    <t>D+M Repase stávajícího kamenného schodiště včetně soklů - Specifikace dle PD</t>
  </si>
  <si>
    <t>" V ceně : "</t>
  </si>
  <si>
    <t>" - Výměna poškozených prvků, doplnění podlahy včetně soklů, vyčištění, vyspravení, impregnace, leštění, voskování, zakonzervování apod. "</t>
  </si>
  <si>
    <t>776999103 SPC</t>
  </si>
  <si>
    <t>77299901 SPC</t>
  </si>
  <si>
    <t>" Schodiště 1.PP " 8,41+2,405*0,145*12</t>
  </si>
  <si>
    <t>771999105 SPC</t>
  </si>
  <si>
    <t>D+M Repase stávající teracové dlažby včetně soklů - Specifikace dle PD</t>
  </si>
  <si>
    <t xml:space="preserve">"1.PP " </t>
  </si>
  <si>
    <t>" - Výměna poškozených prvků, doplnění podlahy včetně soklů, vyčištění, vyspravení apod. "</t>
  </si>
  <si>
    <t>" 1.PP" 3,31+3,31+2,69+2,69+2,21+2,89+2,0+1,58+1,96+1,58</t>
  </si>
  <si>
    <t>D+M Keramická dlažba - Nová základová deska - Podlaha 1.PP - Specifikace dle PD  - Skladba P2a</t>
  </si>
  <si>
    <t>" 1.PP u dojezdu výtahu " (1,85*3,05+4,25*3,7)-(1,85*2,45+3,65*3,1)</t>
  </si>
  <si>
    <t xml:space="preserve">" 1.PP podél nového základu " </t>
  </si>
  <si>
    <t xml:space="preserve">" - Podkladní betonová deska - tl. 50mm - 134,7m2. " </t>
  </si>
  <si>
    <t>771999106 SPC</t>
  </si>
  <si>
    <t xml:space="preserve">" 1.PP . " </t>
  </si>
  <si>
    <t>" - Epoxidová stěrka vč. Vsypu křemičitým pískem, vysoká mechanická odolnost, vysoká odolnost vůči chemikáliím, obrusu, vodě olejům - tl. 3,5mm - 255,3m2 "</t>
  </si>
  <si>
    <t xml:space="preserve">" - Samonivelační vyrovnávací stěrka - tl. 10mm  - 255,3m2. " </t>
  </si>
  <si>
    <t xml:space="preserve">" SDK podhled 2.PP " </t>
  </si>
  <si>
    <t xml:space="preserve">" Malba SDK podhledu 2.PP " </t>
  </si>
  <si>
    <t>763135902 SPC</t>
  </si>
  <si>
    <t xml:space="preserve">" Kazetový podhled 1.NP " </t>
  </si>
  <si>
    <t>D+M Minerální kazetový podhled, do vlhkých prostor - Specifikace dle PD - Rastr 2</t>
  </si>
  <si>
    <t>763135901 SPC</t>
  </si>
  <si>
    <t xml:space="preserve">" Kazetový podhled 1.PP " </t>
  </si>
  <si>
    <t>" Cena včetně minerálních kazet, nosných profilů, závěsů, lemujících a ukončujících lišt, spojovacího a kotvícího materiálu. "</t>
  </si>
  <si>
    <t>D+M Minerální kazetový podhled - Specifikace dle PD - Rastr 1</t>
  </si>
  <si>
    <t>763999201 SPC</t>
  </si>
  <si>
    <t>" Cena včetně lemujících profilů, spojovacího a kotvícího materiálu, povrchové úpravy armovanou fasádní omítkou. "</t>
  </si>
  <si>
    <t>SDK Protipožární obklad z minerální vaty tl. 40mm včetně povrchové úpravy - Specifikace dle PD - Pozn. 2</t>
  </si>
  <si>
    <t xml:space="preserve">" SDK opláštění instalací 1.PP " </t>
  </si>
  <si>
    <t>790999304 SPC</t>
  </si>
  <si>
    <t>D+M Zděný pult obložený keramickým obkladem včetně horní plochy - Specifikace dle PD</t>
  </si>
  <si>
    <t xml:space="preserve">" V ceně zdivo, povrchová úprava, keramický obklad." </t>
  </si>
  <si>
    <t>" Stěny výtahových šachet 1.PP. " 14,7*1,05</t>
  </si>
  <si>
    <t xml:space="preserve">" Příčky 1.PP. " </t>
  </si>
  <si>
    <t>Příčka z cihel děrovaných do P10 na maltu M5 tloušťky 115 mm</t>
  </si>
  <si>
    <t xml:space="preserve">" Malba SDK opláštění sloupů 2.PP " </t>
  </si>
  <si>
    <t>Příčka z pórobetonových hladkých tvárnic na tenkovrstvou maltu tl 100 mm</t>
  </si>
  <si>
    <t>" Schodiště venkovní včetně schodišťových stupňů " 1,5*0,250*(0,4+1,3)*1,05+2,4*0,360*1,5*1,05+((2,1*1,4)/2)*0,250*1,05</t>
  </si>
  <si>
    <t>" Schodiště venkovní  " 2,4*1,5+2,4*2*0,360+((2,1*1,4)/2)*2</t>
  </si>
  <si>
    <t>D+M Epoxidová stěrka - Nová stropní konstrukce - Podlaha 1.NP, 2.NP, 4.NP - Specifikace dle PD - Skladba P12</t>
  </si>
  <si>
    <t>D+M Epoxidová stěrka - Výměna násypu na klenbě - Podlaha 1.NP, 2.NP, 3.NP - Specifikace dle PD - Skladba P7</t>
  </si>
  <si>
    <t>D+M Epoxidová stěrka - Podlaha 1.NP, 2.NP, 3.NP - Specifikace dle PD - Skladba P4</t>
  </si>
  <si>
    <t>D+M Epoxidová stěrka - Podlaha 1.PP - Specifikace dle PD - Skladba P1</t>
  </si>
  <si>
    <t>" Podlaha v 1.NP " 10,1+8,0</t>
  </si>
  <si>
    <t>" Schodiště 1.NP " 9,4+2,49*0,149*13+9,2+2,395*0,159*13</t>
  </si>
  <si>
    <t>" Oprava stávajících omítek stropů - 1.PP " (71,55+10,01+41,48+50,22+37,68+18,12+18,86+5,19+11,27+3,31+11,28+3,31+17,81+27,06+33,35+33,04+45,13+75,62+38,29+86,96+18,54+230,05+80,69+12,35+2,69+2,69+6,95+6,30+7,97+70,18+8,41+14,17+10,06+2,21+15,79+8,45+2,89+2,0+1,58+1,96+1,58+3,12+8,35)*1,2</t>
  </si>
  <si>
    <t>" Vnitřní lešení 1.NP " 84,75+22,64+16,78+37,79+37,66+23,73+21,71+33,87+33,37+22,22+23,46+77,73+40,44+90,13+106,57+119,15+136,91+2,89+2,69+13,57+16,40+9,32+9,12+13,92+110,53+10,05+7,96+16,86+18,02+13,85+38,14+43,08+22,49+85,63+19,37+14,06+3,12+8,35</t>
  </si>
  <si>
    <t>" Oprava stávajících omítek stropů - 1.NP " (84,75+22,64+16,78+37,79+37,66+23,73+21,71+33,87+33,37+22,22+23,46+77,73+40,44+90,13+106,57+119,15+136,91+2,89+2,69+13,57+16,40+9,32+9,12+13,92+110,53+10,05+7,96+16,86+18,02+13,85+38,14+43,08+22,49+85,63+19,37+14,06+3,12+8,35)*1,2</t>
  </si>
  <si>
    <t>" Stěny výtahových šachet 1.NP. " 16,0*1,05</t>
  </si>
  <si>
    <t>" Bednění stěn výtahových šachet 1.PP " (1,85*2+1,95*2+3,15+2,9*2+1,2)*3,81*2</t>
  </si>
  <si>
    <t>" Bednění stěn výtahových šachet 1.NP " (1,85*2+1,95*2+3,15+2,9*2+1,2)*3,885*2</t>
  </si>
  <si>
    <t>" Nátěr výtahových šachet 1.PP " (1,6*2+1,95*2+2,65*2+3,15*2)*3,81</t>
  </si>
  <si>
    <t>" Nátěr výtahových šachet 1.NP " (1,6*2+1,95*2+2,6*2+3,15*2)*3,885</t>
  </si>
  <si>
    <t>" Podklad pod nové omítky výtahových šachet - 1.PP." (2,2+1,2+3,15+4,1)*3,5</t>
  </si>
  <si>
    <t>" Podklad pod nové omítky výtahových šachet - 1.NP." (2,2+1,2+3,15+4,1)*3,5</t>
  </si>
  <si>
    <t>" Nová omítka výtahových šachet - 1.PP."  (2,2+1,2+3,15+4,1)*3,5</t>
  </si>
  <si>
    <t>" Nová omítka výtahových šachet - 1.NP." (2,2+1,2+3,15+4,1)*3,5</t>
  </si>
  <si>
    <t>" Malba nových omítek výtahových šachet - 1.PP " (2,2+1,2+3,15+4,1)*3,5</t>
  </si>
  <si>
    <t>" Malba nových omítek výtahových šachet - 1.NP " (2,2+1,2+3,15+4,1)*3,5</t>
  </si>
  <si>
    <t xml:space="preserve">" Stěny 1.NP. " </t>
  </si>
  <si>
    <t xml:space="preserve">" Příčky 1.NP. " </t>
  </si>
  <si>
    <t>" Podklad pod nové omítky dozdívek - 1.NP." 22,3*2+8,6*2+20,9*2</t>
  </si>
  <si>
    <t>" Nová omítka dozdívek - 1.NP." 22,3*2+8,6*2+20,9*2</t>
  </si>
  <si>
    <t>" Malba nových omítek dozdívek - 1.NP " 22,3*2+8,6*2+20,9*2</t>
  </si>
  <si>
    <t>" Příčka v 1.NP "</t>
  </si>
  <si>
    <t>SDK stěna předsazená tl 75 mm profil CW+UW 75 desky 2xH2DF 12,5 TI 50 mm 50 kg/m3 EI 45 - Specifikace dle PD</t>
  </si>
  <si>
    <t>" Malba SDK příček a předstěn 1.PP " 212,6*2+6,9+13,1+49,6</t>
  </si>
  <si>
    <t xml:space="preserve">" SDK opláštění instalací 1.NP " </t>
  </si>
  <si>
    <t>" Malba SDK příček a předstěn 1.NP " 85,2*2+15,0+2,0+19,7+14,4</t>
  </si>
  <si>
    <t xml:space="preserve">" Předstěna v 1.NP " </t>
  </si>
  <si>
    <t>SDK stěna předsazená tl 250 mm profil CW+UW 100 desky 2xH2DF 12,5 TI 50 mm 50 kg/m3 EI 45 - Specifikace dle PD</t>
  </si>
  <si>
    <t>" Opláštění ocelových stropních nosníků v 1.PP " (6,41+6,06)*1,1*1,1</t>
  </si>
  <si>
    <t>" Opláštění ocelových stropních nosníků v 1.NP " (6,125+6,125)*1,1*1,1</t>
  </si>
  <si>
    <t>" Zajištění prostupu límcem nad 1.PP " 0,04*1,05</t>
  </si>
  <si>
    <t>" Zajištění prostupu límcem nad 1.NP " 0,04*1,05</t>
  </si>
  <si>
    <t>" Věnec u doplněného stropu nad 1.NP " (5,575*0,250*0,250)*1,05</t>
  </si>
  <si>
    <t>" Věnec u doplněného stropu nad 1.PP " (5,575*0,250*0,250)*1,05</t>
  </si>
  <si>
    <t>" Bednění věnce 1.PP. " 5,575*0,250*2</t>
  </si>
  <si>
    <t>" Bednění věnce 1.NP. " 5,575*0,250*2</t>
  </si>
  <si>
    <t>" Nový strop nad 1.NP " 49,9+34,4</t>
  </si>
  <si>
    <t>" Nový strop nad 1.PP " 47,8+32,3</t>
  </si>
  <si>
    <t>" Zajištění pilíře v 1.NP " (0,950*2+0,730*2)*3,6</t>
  </si>
  <si>
    <t>" Hutnění pod novou základovou deskou pro svodné potrubí pod 1.PP " 113,9*1,0</t>
  </si>
  <si>
    <t>D+M Nová základová deska - Podlaha 1.PP - Specifikace dle PD  - Skladba P2a</t>
  </si>
  <si>
    <t>" V ceně také ukončovací , přechodové lišty z nerezových profilů s dilatační zónou, dilatační dvousložkové plastové profily, podlahové pásky po obvodu místností."</t>
  </si>
  <si>
    <t xml:space="preserve">" - Litý samonivelační cementový potěr (CT-C30-F6) - tl. 90mm - 125,3m2. " </t>
  </si>
  <si>
    <t xml:space="preserve">" - Základová deska ze ŽB včetně výztuže a bednění - tl. 150mm - 18,0m3. " </t>
  </si>
  <si>
    <t xml:space="preserve">" - Asfaltová hydroizolace - včetně napojení na stávající hydroizolaci objektu - 131,0m2. " </t>
  </si>
  <si>
    <t xml:space="preserve">" - Podkladní betonová deska - tl. 50mm - 125,3m2. " </t>
  </si>
  <si>
    <t xml:space="preserve">" - Hutněný štěrkopískový násyp - tl. 400mm - 47,9m3. " </t>
  </si>
  <si>
    <t>" 1.PP " 633,0-8,52</t>
  </si>
  <si>
    <t xml:space="preserve">" - Keramická dlažba do flexibilního lepidla - tl. 10mm - 687,0m2. " </t>
  </si>
  <si>
    <t xml:space="preserve">" - Samonivelační vyrovnávací stěrka - tl. 10mm - 687m2. " </t>
  </si>
  <si>
    <t xml:space="preserve">" - Litý samonivelační cementový potěr (CT-C30-F6) - tl. 90mm - 9,4m2. " </t>
  </si>
  <si>
    <t xml:space="preserve">" - Keramická dlažba do flexibilního lepidla - tl. 10mm - 9,4m2. " </t>
  </si>
  <si>
    <t xml:space="preserve">" - Základová deska ze ŽB včetně výztuže a bednění - tl. 150mm - 1,4m3. " </t>
  </si>
  <si>
    <t xml:space="preserve">" - Asfaltová hydroizolace - včetně napojení na stávající hydroizolaci objektu - 9,8m2. " </t>
  </si>
  <si>
    <t xml:space="preserve">" - Hutněný štěrkopískový násyp - tl. 400mm - 3,6m3. " </t>
  </si>
  <si>
    <t>28399902 SPC</t>
  </si>
  <si>
    <t xml:space="preserve">" Doplnění podlahy po bouracích pracech 1.NP " </t>
  </si>
  <si>
    <t xml:space="preserve">" Doplnění podlahy po bouracích pracech 2.NP " </t>
  </si>
  <si>
    <t xml:space="preserve">" Doplnění podlahy po bouracích pracech 3.NP " </t>
  </si>
  <si>
    <t xml:space="preserve">" Doplnění podlahy po bouracích pracech 4.NP " </t>
  </si>
  <si>
    <t xml:space="preserve">" Doplnění podlahy po bouracích pracech 5.NP " </t>
  </si>
  <si>
    <t>" Čistý úklid 1.NP " 84,75+22,64+16,78+37,79+37,66+23,73+21,71+33,87+33,37+22,22+23,46+77,73+40,44+90,13+106,57+119,15+136,91+2,89+2,69+13,57+16,40+9,32+9,12+13,92+110,53+10,05+7,96+16,86+18,02+13,85+38,14+43,08+22,49+85,63+19,37+14,06+3,12+8,35</t>
  </si>
  <si>
    <t>D+M Provedení izolace proti vodě za studena dvojnásobným nátěrem tekutou lepenkou včetně penetrace - interiérové části - Specifikace dle PD</t>
  </si>
  <si>
    <t>7114120531 RTO</t>
  </si>
  <si>
    <t>" Hydroizolační stěrka pod keramický obklad 1.PP "  514,6*1,05</t>
  </si>
  <si>
    <t>" Hydroizolační stěrka pod keramický obklad 1.NP " 68,1*1,05</t>
  </si>
  <si>
    <t>" Hydroizolační stěrka pod keramickou dlažbu 1.NP "  546,5*1,05</t>
  </si>
  <si>
    <t>" Hydroizolační stěrka pod keramickou dlažbu 1.PP "  633,0*1,05</t>
  </si>
  <si>
    <t>" Nový strop nad 2.NP " 50,0+34,6</t>
  </si>
  <si>
    <t xml:space="preserve">" Obklad 1.PP " </t>
  </si>
  <si>
    <t xml:space="preserve">" Obklad 1.NP " </t>
  </si>
  <si>
    <t xml:space="preserve">" Obklad 2.NP " </t>
  </si>
  <si>
    <t>" Hydroizolační stěrka pod keramický obklad 2.NP "  140,5*1,05</t>
  </si>
  <si>
    <t xml:space="preserve">" SDK podhled 2.NP " </t>
  </si>
  <si>
    <t xml:space="preserve">" Kazetový podhled 2.NP " </t>
  </si>
  <si>
    <t>" Vnitřní lešení 2.NP " 59,68+26,74+40,89+78,99+23,06+22,17+33,90+33,05+22,26+23,51+78,89+41,06+27,47+65,04+48,33+110,03+121,77+94,02+13,33+2,89+2,69+14,11+16,94+9,50+9,63+14,93+35,91+16,53+129,74+106,67+105,91+3,12+8,35</t>
  </si>
  <si>
    <t>" Čistý úklid 2.NP " 59,68+26,74+40,89+78,99+23,06+22,17+33,90+33,05+22,26+23,51+78,89+41,06+27,47+65,04+48,33+110,03+121,77+94,02+13,33+2,89+2,69+14,11+16,94+9,50+9,63+14,93+35,91+16,53+129,74+106,67+105,91+3,12+8,35</t>
  </si>
  <si>
    <t>" Oprava stávajících omítek stropů - 2.NP " (59,68+26,74+40,89+78,99+23,06+22,17+33,90+33,05+22,26+23,51+78,89+41,06+27,47+65,04+48,33+110,03+121,77+94,02+13,33+2,89+2,69+14,11+16,94+9,50+9,63+14,93+35,91+16,53+129,74+106,67+105,91+3,12+8,35)*1,2</t>
  </si>
  <si>
    <t xml:space="preserve">" - Heterogenní akustický vinyl, povrchová úprava PUR - tl. 3,5mm - 55,0m2. " </t>
  </si>
  <si>
    <t xml:space="preserve">" - Samonivelační vyrovnávací stěrka - tl. 5mm - 55,0m2. " </t>
  </si>
  <si>
    <t xml:space="preserve">" - Podlahová betonová deska, beton C25/30 vyztužená KARI sítí Ø6 100×100 - tl. 60mm - 3,2m3. " </t>
  </si>
  <si>
    <t xml:space="preserve">" - Separační PE fólie - 57,5m2. " </t>
  </si>
  <si>
    <t xml:space="preserve">" - Akustická minerální deska pro těžké plovoucí podlahy vč. Okrajového páku, pro zatížení do 300kg/m² - tl. 30mm - 55,0m2. " </t>
  </si>
  <si>
    <t>" Schodiště 2.NP " 9,5+2,49*0,150*13+9,63+2,48*0,149*13</t>
  </si>
  <si>
    <t>" Opláštění ocelových stropních nosníků v 2.NP " (6,345+6,345+6,33+6,33)*1,1*1,1</t>
  </si>
  <si>
    <t>" Nátěr výtahových šachet 2.NP " (1,6*2+1,95*2+2,6*2+3,15*2)*3,905</t>
  </si>
  <si>
    <t>" Stěny výtahových šachet 2.NP. " 16,1*1,05</t>
  </si>
  <si>
    <t xml:space="preserve">" Stěny 2.NP. " </t>
  </si>
  <si>
    <t xml:space="preserve">" Příčky 2.NP. " </t>
  </si>
  <si>
    <t>" Podklad pod nové omítky dozdívek - 2.NP." 25,8*2+9,8*2+23,2*2</t>
  </si>
  <si>
    <t>" Nová omítka dozdívek - 2.NP." 25,8*2+9,8*2+23,2*2</t>
  </si>
  <si>
    <t>" Malba nových omítek dozdívek - 2.NP " 25,8*2+9,8*2+23,2*2</t>
  </si>
  <si>
    <t>" Příčka v 2.NP "</t>
  </si>
  <si>
    <t xml:space="preserve">" SDK opláštění instalací 2.NP " </t>
  </si>
  <si>
    <t xml:space="preserve">" Předstěna v 2.NP " </t>
  </si>
  <si>
    <t>" Malba SDK příček a předstěn 2.NP " 78,4*2+12,6+2,0+28,6+31,4</t>
  </si>
  <si>
    <t>" Věnec u doplněného stropu nad 2.NP " (5,575*0,250*0,250)*1,05</t>
  </si>
  <si>
    <t>" Zajištění prostupu límcem nad 2.NP " 0,04*1,05</t>
  </si>
  <si>
    <t>" Bednění věnce 2.NP. " 5,575*0,250*2</t>
  </si>
  <si>
    <t>" Zajištění pilíře v 2.NP " (0,950*2+0,730*2)*3,6</t>
  </si>
  <si>
    <t>" Vnitřní lešení 3.NP " 57,65+28,26+49,33+60,32+47,08+69,72+21,77+124,32+61,27+31,42+110,12+121,94+145,36+12,88+2,88+2,69+14,73+19,50+7,73+9,44+15,15+19,98+16,95+17,30+132,77+106,36+107,17+10,70+23,64+3,12+8,35</t>
  </si>
  <si>
    <t>" Čistý úklid 3.NP " 57,65+28,26+49,33+60,32+47,08+69,72+21,77+124,32+61,27+31,42+110,12+121,94+145,36+12,88+2,88+2,69+14,73+19,50+7,73+9,44+15,15+19,98+16,95+17,30+132,77+106,36+107,17+10,70+23,64+3,12+8,35</t>
  </si>
  <si>
    <t>" Oprava stávajících omítek stropů - 3.NP " (57,65+28,26+49,33+60,32+47,08+69,72+21,77+124,32+61,27+31,42+110,12+121,94+145,36+12,88+2,88+2,69+14,73+19,50+7,73+9,44+15,15+19,98+16,95+17,30+132,77+106,36+107,17+10,70+23,64+3,12+8,35)*1,2</t>
  </si>
  <si>
    <t>" - Epoxidová stěrka vč. Vsypu křemičitým pískem, vysoká mechanická odolnost, vysoká odolnost vůči chemikáliím, obrusu, vodě olejům - tl. 3,5mm - 1100,9m2 "</t>
  </si>
  <si>
    <t xml:space="preserve">" - Samonivelační vyrovnávací stěrka - tl. 5mm  - 1100,9m2. " </t>
  </si>
  <si>
    <t xml:space="preserve">" - Podlahová betonová deska, beton C25/30 vyztužená KARI sítí Ø6 100×100 - tl. 60mm - 63,1m3. " </t>
  </si>
  <si>
    <t xml:space="preserve">" Obklad 3.NP " </t>
  </si>
  <si>
    <t xml:space="preserve">" SDK podhled 3.NP " </t>
  </si>
  <si>
    <t>" Cena včetně minerálních kazet do vlhkých prostor, nosných profilů, závěsů, lemujících a ukončujících lišt, spojovacího a kotvícího materiálu. "</t>
  </si>
  <si>
    <t xml:space="preserve">" Kazetový podhled 3.NP " </t>
  </si>
  <si>
    <t>" Hydroizolační stěrka pod keramický obklad 3.NP " 53,2*1,05</t>
  </si>
  <si>
    <t xml:space="preserve">" SDK opláštění instalací 3.NP " </t>
  </si>
  <si>
    <t>" Stěny výtahových šachet 3.NP. " 16,3*1,05</t>
  </si>
  <si>
    <t>" Bednění stěn výtahových šachet 2.NP " (1,85*2+1,95*2+3,15+2,9*2+1,2)*3,905*2</t>
  </si>
  <si>
    <t>" Bednění stěn výtahových šachet 3.NP " (1,85*2+1,95*2+3,15+2,9*2+1,2)*3,885*2</t>
  </si>
  <si>
    <t xml:space="preserve">" Stěny 3.NP. " </t>
  </si>
  <si>
    <t xml:space="preserve">" Příčky 3.NP. " </t>
  </si>
  <si>
    <t>" Podklad pod nové omítky výtahových šachet - 2.NP." (2,2+1,2+3,15+4,1)*3,53</t>
  </si>
  <si>
    <t>" Podklad pod nové omítky výtahových šachet - 3.NP." (2,2+1,2+3,15+4,1)*3,6</t>
  </si>
  <si>
    <t>" Podklad pod nové omítky dozdívek - 3.NP." 36,0*2+17,2*2+23,4*2</t>
  </si>
  <si>
    <t>" Malba nových omítek výtahových šachet - 2.NP " (2,2+1,2+3,15+4,1)*3,53</t>
  </si>
  <si>
    <t>" Malba nových omítek výtahových šachet - 3.NP " (2,2+1,2+3,15+4,1)*3,6</t>
  </si>
  <si>
    <t>" Malba nových omítek dozdívek - 3.NP " 36,0*2+17,2*2+23,4*2</t>
  </si>
  <si>
    <t xml:space="preserve">"Stavební práce a dodávky spojené s provedením funkčního celku 713." </t>
  </si>
  <si>
    <t>713</t>
  </si>
  <si>
    <t>Přesun hmot procentní pro izolace tepelné v objektech v do 36 m</t>
  </si>
  <si>
    <t>71399901 SPC</t>
  </si>
  <si>
    <t>D+M PUR sendvičové panely - Specifikace dle PD</t>
  </si>
  <si>
    <t>" Cena včetně PUR panelů, nosných profilů, lemujících profilů, spojovacího a kotvícího materiálu, povrchové úpravy. "</t>
  </si>
  <si>
    <t>" 3.NP - stěny. "</t>
  </si>
  <si>
    <t>" 3.NP - podhled. " 49,4*1,1</t>
  </si>
  <si>
    <t>" Příčka v 3.NP "</t>
  </si>
  <si>
    <t xml:space="preserve">7631214672 RTO </t>
  </si>
  <si>
    <t>SDK stěna předsazená tl 300 mm profil CW+UW 100 desky 2xH2DF 12,5 TI 50 mm 50 kg/m3 EI 45 - Specifikace dle PD</t>
  </si>
  <si>
    <t xml:space="preserve">" Předstěna v 3.NP " </t>
  </si>
  <si>
    <t>" Malba SDK příček a předstěn 3.NP " 150,9*2+12,1+2,0+14,5+20,1</t>
  </si>
  <si>
    <t>D+M Zajištění pilířů - Specifikace dle PD</t>
  </si>
  <si>
    <t>" Zajištění pilíře v 3.NP " (0,950*2+0,730*2)*3,6</t>
  </si>
  <si>
    <t xml:space="preserve">" Otlučení omítky zahrnuto v bouracích pracích. " </t>
  </si>
  <si>
    <t>" Opláštění ocelových stropních nosníků v 3.NP " (6,76)*1,1*1,1</t>
  </si>
  <si>
    <t>" Opláštění zajištění pilíře v 1.PP " (0,950*2+0,730*2)*3,5*1,1</t>
  </si>
  <si>
    <t>" Opláštění zajištění pilíře v 1.NP " (0,950*2+0,730*2)*3,6*1,1</t>
  </si>
  <si>
    <t>" Opláštění zajištění pilíře v 2.NP " (0,950*2+0,730*2)*3,6*1,1</t>
  </si>
  <si>
    <t>" Opláštění zajištění pilíře v 3.NP " (0,950*2+0,730*2)*3,6*1,1</t>
  </si>
  <si>
    <t>" Ocelová konstrukce pro depozitáře. "</t>
  </si>
  <si>
    <t>" Věnec u doplněného stropu nad 3.NP " (5,775*0,250*0,250)*1,05</t>
  </si>
  <si>
    <t>" Nová omítka dozdívek - 3.NP."  36,0*2+17,2*2+23,4*2</t>
  </si>
  <si>
    <t>" Nová omítka výtahových šachet - 3.NP." (2,2+1,2+3,15+4,1)*3,6</t>
  </si>
  <si>
    <t>" Nová omítka výtahových šachet - 2.NP." (2,2+1,2+3,15+4,1)*3,53</t>
  </si>
  <si>
    <t>" Hydroizolační stěrka pod keramickou dlažbu 2.NP "  410,4*1,05</t>
  </si>
  <si>
    <t>" Hydroizolační stěrka pod keramickou dlažbu 3.NP "  399,7*1,05</t>
  </si>
  <si>
    <t>" Nátěr výtahových šachet 3.NP " (1,6*2+1,95*2+2,6*2+3,15*2)*3,885</t>
  </si>
  <si>
    <t>Sanační omítka včetně doplnění ozdobných fasádních prvků - odborné provedení - Specifikace dle PD</t>
  </si>
  <si>
    <t>" V ceně zakrývání otvorů, konstrukcí a prvků proti znečištění. V ceně odborné provedení a kopie štukové výzdoby, doplnění ozdobných prvků a říms. "</t>
  </si>
  <si>
    <t>" Vnitřní lešení 4.NP " 44,64+18,85+33,77+18,51+21,53+21,11+16,73+12,73+2,93+2,69+14,55+83,64+37,07+19,89+16,82+562,62+596,32+3,12+8,35</t>
  </si>
  <si>
    <t>" Čistý úklid 4.NP " 44,64+18,85+33,77+18,51+21,53+21,11+16,73+12,73+2,93+2,69+14,55+83,64+37,07+19,89+16,82+562,62+596,32+3,12+8,35</t>
  </si>
  <si>
    <t xml:space="preserve">" - Heterogenní akustický vinyl, povrchová úprava PUR - tl. 3,5mm - 511,4m2. " </t>
  </si>
  <si>
    <t xml:space="preserve">" - Samonivelační vyrovnávací stěrka - tl. 5mm - 511,4m2. " </t>
  </si>
  <si>
    <t xml:space="preserve">" - Podlahová betonová deska, beton C25/30 vyztužená KARI sítí Ø6 100×100 - tl. 60mm - 29,3m3. " </t>
  </si>
  <si>
    <t xml:space="preserve">" - Separační PE fólie - 534,7m2. " </t>
  </si>
  <si>
    <t xml:space="preserve">" - Akustická minerální deska pro těžké plovoucí podlahy vč. Okrajového páku, pro zatížení do 300kg/m² - tl. 30mm - 511,4m2. " </t>
  </si>
  <si>
    <t xml:space="preserve">" - Heterogenní akustický vinyl, povrchová úprava PUR - tl. 3,5mm - 114,8m2. " </t>
  </si>
  <si>
    <t xml:space="preserve">" - Litý samonivelační cementový potěr (CT-C30-F6) - tl. 65mm - 114,8m2. " </t>
  </si>
  <si>
    <t xml:space="preserve">" - Separační PE fólie - 120,0m2. " </t>
  </si>
  <si>
    <t xml:space="preserve">" - Akustická minerální deska pro těžké plovoucí podlahy vč. Okrajového páku, pro zatížení do 300kg/m² - tl. 30mm - 114,8m2. " </t>
  </si>
  <si>
    <t>" - Epoxidová stěrka vč. Vsypu křemičitým pískem, vysoká mechanická odolnost, vysoká odolnost vůči chemikáliím, obrusu, vodě olejům - tl. 3,5mm - 96,0m2 "</t>
  </si>
  <si>
    <t xml:space="preserve">" - Litý samonivelační cementový potěr (CT-C30-F6) - tl. 65mm - 96,0m2. " </t>
  </si>
  <si>
    <t xml:space="preserve">" - Separační PE fólie - 100,3m2. " </t>
  </si>
  <si>
    <t xml:space="preserve">" - Akustická minerální deska pro těžké plovoucí podlahy vč. Okrajového páku, pro zatížení do 300kg/m² - tl. 30mm - 96,0m2. " </t>
  </si>
  <si>
    <t xml:space="preserve">" - Keramická dlažba do flexibilního lepidla - tl. 10mm - 1351,8m2. " </t>
  </si>
  <si>
    <t xml:space="preserve">" - Podlahová betonová deska, beton C25/30 vyztužená KARI sítí Ø6 100×100 - tl. 60mm - 77,5m3. " </t>
  </si>
  <si>
    <t xml:space="preserve">" - Separační PE fólie - 1413,3m2. " </t>
  </si>
  <si>
    <t xml:space="preserve">" - Akustická minerální deska pro těžké plovoucí podlahy vč. Okrajového páku, pro zatížení do 300kg/m² - tl. 30mm - 1351,8m2. " </t>
  </si>
  <si>
    <t>" Hydroizolační stěrka pod keramický obklad 4.NP " 46,6*1,05</t>
  </si>
  <si>
    <t xml:space="preserve">" Obklad 4.NP " </t>
  </si>
  <si>
    <t xml:space="preserve">" SDK podhled 4.NP " </t>
  </si>
  <si>
    <t xml:space="preserve">" Kazetový podhled 4.NP " </t>
  </si>
  <si>
    <t>" Nátěr výtahových šachet 4.NP " (1,6*2+1,95*2+2,6*2+3,15*2)*3,505+3,2+8,4</t>
  </si>
  <si>
    <t>" Stěny výtahových šachet 4.NP. " 15,9*1,05</t>
  </si>
  <si>
    <t>" Bednění stěn výtahových šachet 4.NP " (1,85*2+1,95*2+3,15+2,9*2+1,2)*3,905*2</t>
  </si>
  <si>
    <t xml:space="preserve">" Stěny 4.NP. " </t>
  </si>
  <si>
    <t xml:space="preserve">" Příčky 4.NP. " </t>
  </si>
  <si>
    <t>" Podklad pod nové omítky dozdívek - 4.NP." 5,3*2+22,8*2+9,7*2</t>
  </si>
  <si>
    <t>" Podklad pod nové omítky výtahových šachet - 4.NP." (2,2+1,2+3,15+4,1)*3,505</t>
  </si>
  <si>
    <t>" Nová omítka dozdívek - 4.NP."  5,3*2+22,8*2+9,7*2</t>
  </si>
  <si>
    <t>" Nová omítka výtahových šachet - 4.NP." (2,2+1,2+3,15+4,1)*3,505</t>
  </si>
  <si>
    <t>" Malba nových omítek výtahových šachet - 4.NP " (2,2+1,2+3,15+4,1)*3,505</t>
  </si>
  <si>
    <t>" Malba nových omítek dozdívek - 4.NP " 5,3*2+22,8*2+9,7*2</t>
  </si>
  <si>
    <t>" Příčka v 4.NP "</t>
  </si>
  <si>
    <t xml:space="preserve">" SDK opláštění instalací 4.NP " </t>
  </si>
  <si>
    <t xml:space="preserve">" Předstěna v 4.NP " </t>
  </si>
  <si>
    <t>" Malba SDK příček a předstěn 4.NP " 73,3*2+18,8+2,0+13,7+20,1</t>
  </si>
  <si>
    <t>" Nový strop nad 4.NP " 23,4+23,5+7,3+34,4</t>
  </si>
  <si>
    <t>" Zajištění pilíře v 4.NP " (0,950*2+0,730*2)*3,5</t>
  </si>
  <si>
    <t xml:space="preserve">" Úhelník L č. 100x10 včetně jeho osazení - 78,5m. " </t>
  </si>
  <si>
    <t xml:space="preserve">" Ocelové pásky 100x6mm včetně jeho osazení - 112,5m. " </t>
  </si>
  <si>
    <t>" Věnec u doplněného stropu nad 4.NP " (5,775*0,250*0,250)*1,05</t>
  </si>
  <si>
    <t>" Bednění věnce 3.NP. " 5,775*0,250*2</t>
  </si>
  <si>
    <t>" Bednění věnce 4.NP. " 5,775*0,250*2</t>
  </si>
  <si>
    <t>" Oprava stávajících omítek stropů - 4.NP " (44,64+18,85+33,77+18,51+21,53+21,11+16,73+12,73+2,93+2,69+14,55+83,64+37,07+19,89+16,82+3,12+8,35)*1,2</t>
  </si>
  <si>
    <t>Čištění budov zametení drsných podlah</t>
  </si>
  <si>
    <t>" Vyčištění podlahy před jejím zateplením - 4.NP. " 562,62+596,32</t>
  </si>
  <si>
    <t xml:space="preserve">D+M Nátěr ocelových nosníků kleneb včetně úpravy, očištění, základního a vrchního syntetického nátěru - Specifikace dle PD </t>
  </si>
  <si>
    <t>SDK Protipožární obklad z minerální vaty tl. 20mm včetně povrchové úpravy - Specifikace dle PD - Pozn. 1</t>
  </si>
  <si>
    <t>" Opláštění ocelových stropních nosníků v 1.PP " 255,6*1,1</t>
  </si>
  <si>
    <t>" Opláštění ocelových stropních nosníků v 1.NP " 313,7*1,1</t>
  </si>
  <si>
    <t>" Opláštění ocelových stropních nosníků v 2.NP " 322,4*1,1</t>
  </si>
  <si>
    <t>" Opláštění ocelových stropních nosníků v 3.NP " 321,0*1,1</t>
  </si>
  <si>
    <t>763999202 SPC</t>
  </si>
  <si>
    <t>" Vnitřní lešení 5.NP - Krov " 16,23+400,91</t>
  </si>
  <si>
    <t>" Čistý úklid 5.NP - Krov " 16,23+400,91</t>
  </si>
  <si>
    <t>" Vyčištění podlahy před jejím zateplením - 5.NP. " 16,23+400,91</t>
  </si>
  <si>
    <t xml:space="preserve">" - Tepelná izolace z minerálních vláken včetně roštu z dřevěných trámků 60×140mm, osová vzdálenost trámků 625mm, λ=0,035 W/mK - tl. 140mm - 1887,6m2. " </t>
  </si>
  <si>
    <t xml:space="preserve">" - Separační PE fólie - 1973,4m2. " </t>
  </si>
  <si>
    <t xml:space="preserve">" - Keramická dlažba do flexibilního lepidla - tl. 10mm - 237,1m2. " </t>
  </si>
  <si>
    <t xml:space="preserve">" - Litý samonivelační cementový potěr (CT-C30-F6) - tl. 60mm - 237,1m2. " </t>
  </si>
  <si>
    <t xml:space="preserve">" - Separační PE fólie - 247,9m2. " </t>
  </si>
  <si>
    <t xml:space="preserve">" - Akustická minerální deska pro těžké plovoucí podlahy vč. Okrajového páku, pro zatížení do 300kg/m² - tl. 30mm - 237,1m2. " </t>
  </si>
  <si>
    <t>" 4.NP " 14,7+1,33*0,169*24</t>
  </si>
  <si>
    <t>" 3.NP " 31,6+1,35*0,169*24</t>
  </si>
  <si>
    <t xml:space="preserve">" - Keramická dlažba do flexibilního lepidla - tl. 10mm - 115,1m2. " </t>
  </si>
  <si>
    <t xml:space="preserve">" - Samonivelační vyrovnávací stěrka - tl. 5mm - 115,1m2. " </t>
  </si>
  <si>
    <t>" Hydroizolační stěrka pod keramickou dlažbu 4.NP "  152,2*1,05</t>
  </si>
  <si>
    <t>" Příčka v 5.NP - Krov "</t>
  </si>
  <si>
    <t>763111448 RTO</t>
  </si>
  <si>
    <t>" Malba SDK příček 5.NP - Krov " 70,4*2</t>
  </si>
  <si>
    <t xml:space="preserve">" Malba SDK podhledu 5.NP - Krov " </t>
  </si>
  <si>
    <t>" Výztuž opěrných zdí 250 kg/m3, hmotnost výztuže včetně ztratného. " (17,47/1,05)*0,250</t>
  </si>
  <si>
    <t>43099903 SPC</t>
  </si>
  <si>
    <t>43099904 SPC</t>
  </si>
  <si>
    <t>" Obetonování nosníků schodiště 2.PP " (0,3*0,3*0,3)*2*1,05</t>
  </si>
  <si>
    <t>" Obetonování uložení nosníků nového stropu nad 1.PP " (0,3*0,3*0,3)*28*1,05</t>
  </si>
  <si>
    <t>" Obetonování nosníků podchycující klenbu stropu nad 1.PP " (0,3*0,3*0,3)*8*1,05+7,1*0,400*0,300*1,05+6,7*0,300*0,300*1,05</t>
  </si>
  <si>
    <t>" Obetonování uložení nosníků nového stropu nad 1.NP " (0,3*0,3*0,3)*28*1,05</t>
  </si>
  <si>
    <t>" Betonový podklad pro nosníky podchycující klenbu stropu nad 1.PP " (0,15*0,6*0,3)*4*1,05</t>
  </si>
  <si>
    <t>" Obetonování nosníků podchycující klenbu stropu nad 1.NP " (0,3*0,3*0,3)*8*1,05+13,6*0,300*0,300*1,05</t>
  </si>
  <si>
    <t>" Betonový podklad pro nosníky podchycující klenbu stropu nad 1.NP " (0,15*0,6*0,3)*8*1,05</t>
  </si>
  <si>
    <t>" Obetonování uložení nosníků nového stropu nad 2.NP " (0,3*0,3*0,3)*28*1,05</t>
  </si>
  <si>
    <t>" Obetonování nosníků podchycující klenbu stropu nad 2.NP " (0,3*0,3*0,3)*16*1,05+28,0*0,300*0,300*1,05</t>
  </si>
  <si>
    <t>" Betonový podklad pro nosníky podchycující klenbu stropu nad 2.NP " (0,15*0,6*0,3)*8*1,05</t>
  </si>
  <si>
    <t>" Obetonování uložení nosníků nového kolejnicového systému 2.NP " (0,3*0,3*0,3)*6*1,05</t>
  </si>
  <si>
    <t>" Obetonování uložení nosníků nového stropu nad 3.NP " (0,3*0,3*0,3)*51*1,05</t>
  </si>
  <si>
    <t>" Obetonování nosníků podchycující klenbu stropu nad 3.NP " (0,3*0,3*0,3)*4*1,05+7,4*0,300*0,300*1,05</t>
  </si>
  <si>
    <t>" Betonový podklad pro nosníky podchycující klenbu stropu nad 3.NP " (0,15*0,6*0,3)*2*1,05</t>
  </si>
  <si>
    <t>" Obetonování uložení nosníků nového roštového systému 3.NP " (0,3*0,3*0,3)*30*1,05</t>
  </si>
  <si>
    <t>" Obetonování uložení nosníků nového stropu nad 4.NP " (0,3*0,3*0,3)*32*1,05</t>
  </si>
  <si>
    <t>763164638 RTO</t>
  </si>
  <si>
    <t>SDK obklad kovových kcí tvaru U š do 1,2 m desky 3xDF 15</t>
  </si>
  <si>
    <t xml:space="preserve">" Opláštění ocelového nosníku 1.PP " </t>
  </si>
  <si>
    <t xml:space="preserve">" V ceně přivaření trapézového plechu k nosníkům v každé vlně, případné nastřelení plechu, chemické kotvy, dočasné podepření stropní konstrukce, bednění apod." </t>
  </si>
  <si>
    <t>Ztužující pásy a věnce ze ŽB tř. C 25/30 - XC1</t>
  </si>
  <si>
    <t>62299901 SPC</t>
  </si>
  <si>
    <t>Vyrovnávací potěr tl do 40 mm z MC 15 provedený v pásu</t>
  </si>
  <si>
    <t>" Vylití schodišťových ocelových stupňů - 3.NP " 1,35*0,300*24</t>
  </si>
  <si>
    <t>" Vylití schodišťových ocelových stupňů - 4.NP " 1,33*0,300*24</t>
  </si>
  <si>
    <t>Základové desky ze ŽB bez zvýšených nároků na prostředí tř. C 25/30 XA2, XC1</t>
  </si>
  <si>
    <t>Základové pasy ze ŽB bez zvýšených nároků na prostředí tř. C 25/30 XA2, XC1</t>
  </si>
  <si>
    <t>Schodišťová konstrukce a rampa ze ŽB tř. C 25/30-XC2, XA1 - Pohledový beton třída PB2</t>
  </si>
  <si>
    <t>" Vnitřní ocelové konstrukce otrýskány na stupeň Sa 2,5, povrchová úprava zákadním syntetickým nátěrem v min. tloušťce 80 µm."</t>
  </si>
  <si>
    <t>" Podepření desky dojezdu výtahu " 59,0+12,6</t>
  </si>
  <si>
    <t xml:space="preserve">" Vrtání pro tryskovou injektáž - 71,6m. " </t>
  </si>
  <si>
    <t xml:space="preserve">" Trysková injektáž sloupy D 900 mm stísněné podmínky - 71,6m. " </t>
  </si>
  <si>
    <t xml:space="preserve">" Dodání směsi pro tryskovou injektáž - 48,9m3. " </t>
  </si>
  <si>
    <t>99899901 SPC</t>
  </si>
  <si>
    <t>HSV prvky a konstrukce jinde neuvedené</t>
  </si>
  <si>
    <t>" Výztuž základových desek 240 kg/m3, hmotnost výztuže včetně ztratného a provaření výztuže. " 8,0*0,240</t>
  </si>
  <si>
    <t>" Výztuž základového pasu 80 kg/m3, hmotnost výztuže včetně ztratného a provaření výztuže. " 2,75*0,080</t>
  </si>
  <si>
    <t>Základová zeď ze ŽB tř. C 25/30 XA2, XC1 bez výztuže</t>
  </si>
  <si>
    <t>" Výztuž základových zdí 200 kg/m3, hmotnost výztuže včetně ztratného a provaření výztuže. " 5,95*0,200</t>
  </si>
  <si>
    <t>" Výztuž zdí 1.PP 200 kg/m3, hmotnost výztuže včetně ztratného. " 14,7*0,200</t>
  </si>
  <si>
    <t>" Výztuž zdí 1.NP 200 kg/m3, hmotnost výztuže včetně ztratného. " 16,0*0,200</t>
  </si>
  <si>
    <t>" Výztuž zdí 2.NP 200 kg/m3, hmotnost výztuže včetně ztratného. " 16,1*0,200</t>
  </si>
  <si>
    <t>" Výztuž zdí 3.NP 200 kg/m3, hmotnost výztuže včetně ztratného. " 16,3*0,200</t>
  </si>
  <si>
    <t>" Výztuž zdí 4.NP 200 kg/m3, hmotnost výztuže včetně ztratného. " 15,9*0,200</t>
  </si>
  <si>
    <t>Opěrné zdi a valy ze ŽB tř. C 25/30-XC4, XA1 - Pohledový beton třída PB2</t>
  </si>
  <si>
    <t>" Výztuž věnců 1.PP-4.NP 150 kg/m3, hmotnost výztuže včetně ztratného. " (5,575*0,250*0,250)*0,150*3+(5,775*0,250*0,250)*0,150*2</t>
  </si>
  <si>
    <t>" Výztuž zajištění límcem 1.PP-2.NP 150 kg/m3, hmotnost výztuže včetně ztratného. " 0,04*0,150*3</t>
  </si>
  <si>
    <t>" Výztuž venkovního schodiště 250 kg/m3, hmotnost výztuže včetně ztratného " (2,42/1,05)*0,250</t>
  </si>
  <si>
    <t>Překlad keramický vysoký v 238 mm dl 1250 mm</t>
  </si>
  <si>
    <t>" Překlady 1.PP - PK1 " 3,0*2</t>
  </si>
  <si>
    <t>" Překlady 1.NP - PK1 " 3,0*1</t>
  </si>
  <si>
    <t>Výztuž stropů betonářskou ocelí 10 505</t>
  </si>
  <si>
    <t>Stropy deskové ze ŽB tř. C 25/30 - XC1</t>
  </si>
  <si>
    <t>" SDK podhled 1.PP " 47,8+32,3+1,1</t>
  </si>
  <si>
    <t>" Malba SDK podhledu 1.PP " 37,90+2,0+1,1</t>
  </si>
  <si>
    <t>" Malba SDK podhledu 1.NP " 33,50+1,7</t>
  </si>
  <si>
    <t>" Malba SDK podhledu 2.NP " 4,9+1,7</t>
  </si>
  <si>
    <t>" Malba SDK podhledu 3.NP " 137,0+16,8+1,7</t>
  </si>
  <si>
    <t>" Malba SDK podhledu 4.NP " 99,9+1,9</t>
  </si>
  <si>
    <t>" SDK podhled 1.NP " 49,9+34,4+1,7</t>
  </si>
  <si>
    <t>" SDK podhled 2.NP " 50,0+34,6+1,7</t>
  </si>
  <si>
    <t>" SDK podhled 3.NP " 45,7+22,7+35,7+36,9+1,7</t>
  </si>
  <si>
    <t>" SDK podhled 4.NP " 23,4+23,5+7,3+34,4+1,9</t>
  </si>
  <si>
    <t xml:space="preserve">" Malba SDK opláštění ocelového nosníku 1.PP " </t>
  </si>
  <si>
    <t>" Malba opravené omítky stropů 1.PP " 1390,22-112,54</t>
  </si>
  <si>
    <t>" Malba opravené omítky stropů 1.NP " 1690,0-121,86</t>
  </si>
  <si>
    <t>" Malba opravené omítky stropů 2.NP " 1729,33-117,8</t>
  </si>
  <si>
    <t>" Malba opravené omítky stropů 3.NP " 1751,88-147,19</t>
  </si>
  <si>
    <t>" Malba opravené omítky stropů 4.NP " 452,32-65,69</t>
  </si>
  <si>
    <t>" Opláštění zajištění pilíře v 4.NP "  (0,950*2+0,730*2)*3,5*1,1</t>
  </si>
  <si>
    <t>Zřízení bednění stropů deskových tl do 25 cm bez podpěrné kce</t>
  </si>
  <si>
    <t>Odstranění bednění stropů deskových tl do 25 cm bez podpěrné kce</t>
  </si>
  <si>
    <t>Zřízení podpěrné konstrukce stropů výšky do 4 m tl do 25 cm</t>
  </si>
  <si>
    <t>Odstranění podpěrné konstrukce stropů výšky do 4 m tl do 25 cm</t>
  </si>
  <si>
    <t>" Stropy výtahových šachet. " (2,45*1,85*0,250+2,9*3,65*0,250)*1,05</t>
  </si>
  <si>
    <t>" Bednění stropů výtahových šachet. " 2,45*1,85+2,9*3,65+(2,45*2+1,85*2+2,9*2+3,65*2)*0,250</t>
  </si>
  <si>
    <t>" Podpěrná konstrukce stropů výtahových šachet. " 2,45*1,85+2,9*3,65</t>
  </si>
  <si>
    <t>" Výztuž stropů 200 kg/m3, hmotnost výztuže včetně ztratného apod." (3,97/1,05)*0,200</t>
  </si>
  <si>
    <t>" Podklad pod nové omítky dozdívek - 1.PP." 22,5*2+17,4*2+25,8*2+0,6*2</t>
  </si>
  <si>
    <t>" Nová omítka dozdívek - 1.PP." 22,5*2+17,4*2+25,8*2+0,6*2</t>
  </si>
  <si>
    <t>" Malba nových omítek dozdívek - 1.PP " 22,5*2+17,4*2+25,8*2+0,6*2</t>
  </si>
  <si>
    <t>711999002 SPC</t>
  </si>
  <si>
    <t xml:space="preserve">D+M Hydroizolace dojezdu výtahu - Specifikace dle PD  </t>
  </si>
  <si>
    <t>" Skladba: "</t>
  </si>
  <si>
    <t>" V ceně kotvící a spojovací prvky, zesílení hydroizolace v rozích a koutech, systémové řešení prostupů, utěsnění protupů krystalizačním nátěrem, bentonitovým granulátem a bentonitovým tmelem. " (2,85+3,65+3,15+2,85)*1,25*2+(1,95+1,85+1,85)*1,06*2</t>
  </si>
  <si>
    <t xml:space="preserve">" - Asfaltová hydroizolace - 49,7m2. " </t>
  </si>
  <si>
    <t xml:space="preserve">" - Penetrační nátěr - 49,7m2. " </t>
  </si>
  <si>
    <t>77699901 SPC</t>
  </si>
  <si>
    <t>77599901 SPC</t>
  </si>
  <si>
    <t xml:space="preserve">D+M Příprava podkladu před skládanými podlahami - Specifikace dle PD                                             </t>
  </si>
  <si>
    <t xml:space="preserve">" - Pěnobeton - max. objemová hmotnost v suchém stavu 500 kg/m3, s pevností min. 1,0 Mpa - tl. 160-330mm - 330,3m3. " </t>
  </si>
  <si>
    <t xml:space="preserve">" - Cementotřísková deska opatřená perem a drážkou s hladkým povrchem, bez povrchové úpravy - tl. 18mm - 1887,6m2. " </t>
  </si>
  <si>
    <t>D+M Epoxidová stěrka - Podlaha 1.NP - Specifikace dle PD - Skladba P15</t>
  </si>
  <si>
    <t>" - Epoxidová stěrka vč. Vsypu křemičitým pískem, vysoká mechanická odolnost, vysoká odolnost vůči chemikáliím, obrusu, vodě olejům - tl. 3,5mm - 1661,6m2 "</t>
  </si>
  <si>
    <t xml:space="preserve">" - Samonivelační vyrovnávací stěrka - tl. 5mm  - 1661,6m2. " </t>
  </si>
  <si>
    <t xml:space="preserve">" - Podlahová betonová deska, beton C25/30 vyztužená KARI sítí Ø6 100×100 - tl. 60mm - 95,2m3. " </t>
  </si>
  <si>
    <t xml:space="preserve">" - Separační PE fólie - 1737,1m2. " </t>
  </si>
  <si>
    <t>" - Epoxidová stěrka vč. Vsypu křemičitým pískem, vysoká mechanická odolnost, vysoká odolnost vůči chemikáliím, obrusu, vodě olejům - tl. 3,5mm - 318,1m2 "</t>
  </si>
  <si>
    <t xml:space="preserve">" - Samonivelační vyrovnávací stěrka - tl. 5mm  - 318,1m2. " </t>
  </si>
  <si>
    <t xml:space="preserve">" - Podlahová betonová deska, beton C25/30 vyztužená KARI sítí Ø6 100×100 - tl. 60mm - 18,2m3. " </t>
  </si>
  <si>
    <t xml:space="preserve">" - Separační PE fólie - 332,5m2. " </t>
  </si>
  <si>
    <t xml:space="preserve">" - Akustická minerální deska pro těžké plovoucí podlahy vč. Okrajového páku, pro zatížení do 300kg/m² - tl. 30mm - 318,1m2. " </t>
  </si>
  <si>
    <t>" - Pálená keramická taška srdcovka, režná, včetně případného maltového lože, kotvících prvků, hřebenových tašek a příslušenství - 2763,2m2. "</t>
  </si>
  <si>
    <t>" Nová střešní krytina nad 5.NP "</t>
  </si>
  <si>
    <t>" Nová střešní krytina nad 4.NP a 5.NP "</t>
  </si>
  <si>
    <t>" - Pálená keramická taška srdcovka, režná, včetně případného maltového lože, kotvících prvků, hřebenových tašek a příslušenství - 27,8m2. "</t>
  </si>
  <si>
    <t>" - Pojistná hydroizolační fólie na krokvích - difuzně otevřená - 29,0m2. "</t>
  </si>
  <si>
    <t>" - Tepelná izolace z desek z minerální vaty,  λ=0,037 W/Mk - tl. 160mm - 27,8m2. "</t>
  </si>
  <si>
    <t>" - Tepelná izolace z desek z minerální vaty pod krokvemi,  λ=0,037 W/Mk, v dřevěném roštu - tl. 80mm - 27,8m2. "</t>
  </si>
  <si>
    <t>" - Parotěsná zábrana - separační fólie - 29,0m2. "</t>
  </si>
  <si>
    <t>" - SDK Podhled - tl. desky 15mm - 27,8m2. "</t>
  </si>
  <si>
    <t>SDK podhled deska 1xA 12,5 bez TI jednovrstvá spodní kce profil CD+UD</t>
  </si>
  <si>
    <t>" Ocelová konstrukce pro podchycení. "</t>
  </si>
  <si>
    <t>" Ocelová konstrukce pro stropy. "</t>
  </si>
  <si>
    <t>D+M Nová stropní konstrukce - Specifikace dle PD</t>
  </si>
  <si>
    <t xml:space="preserve">" Ocelová konstrukce zahrnuta v oddíle 33-M. " </t>
  </si>
  <si>
    <t xml:space="preserve">" Trapézový plech TRPL 40/160/1,0 - 97,5m2. " </t>
  </si>
  <si>
    <t>" Nový strop nad 4.NP " 3,8+2,9</t>
  </si>
  <si>
    <t>" Nový strop nad 3.NP " 45,7+22,7+35,7+36,9+3,8+2,9</t>
  </si>
  <si>
    <t xml:space="preserve">" Trapézový plech TRPL 40/160/0,75 - 443,8m2. " </t>
  </si>
  <si>
    <t xml:space="preserve">" Betonová deska C 25/30 XC1, včetně výztuže R12 v každé vlně, při horním povrchu vyztužena KARI sítí D6/100 - tl. 60mm - 25,5m3. " </t>
  </si>
  <si>
    <t>" 1.NP" 2,89+2,69</t>
  </si>
  <si>
    <t>" 2.NP" 2,89+2,69</t>
  </si>
  <si>
    <t>" 3.NP" 2,88+2,69</t>
  </si>
  <si>
    <t>" 4.NP" 2,93+2,69</t>
  </si>
  <si>
    <t>D+M Keramická krytina - Specifikace dle PD - Skladba S1</t>
  </si>
  <si>
    <t>25a</t>
  </si>
  <si>
    <t>25b</t>
  </si>
  <si>
    <t>25c</t>
  </si>
  <si>
    <t>26a</t>
  </si>
  <si>
    <t>26b</t>
  </si>
  <si>
    <t>26c</t>
  </si>
  <si>
    <t>26d</t>
  </si>
  <si>
    <t>26e</t>
  </si>
  <si>
    <t>34a</t>
  </si>
  <si>
    <t>34b</t>
  </si>
  <si>
    <t>59a</t>
  </si>
  <si>
    <t>59b</t>
  </si>
  <si>
    <t>60a</t>
  </si>
  <si>
    <t>89a</t>
  </si>
  <si>
    <t>89b</t>
  </si>
  <si>
    <t>89c</t>
  </si>
  <si>
    <t>91</t>
  </si>
  <si>
    <t>92</t>
  </si>
  <si>
    <t>96a</t>
  </si>
  <si>
    <t>96b</t>
  </si>
  <si>
    <t>141a</t>
  </si>
  <si>
    <t>141b</t>
  </si>
  <si>
    <t>142a</t>
  </si>
  <si>
    <t>142b</t>
  </si>
  <si>
    <t>142c</t>
  </si>
  <si>
    <t>142d</t>
  </si>
  <si>
    <t>142e</t>
  </si>
  <si>
    <t>143a</t>
  </si>
  <si>
    <t>143b</t>
  </si>
  <si>
    <t>143c</t>
  </si>
  <si>
    <t>143d</t>
  </si>
  <si>
    <t>143e</t>
  </si>
  <si>
    <t>144a</t>
  </si>
  <si>
    <t>144b</t>
  </si>
  <si>
    <t>160a</t>
  </si>
  <si>
    <t>160b</t>
  </si>
  <si>
    <t>160c</t>
  </si>
  <si>
    <t>160d</t>
  </si>
  <si>
    <t>160e</t>
  </si>
  <si>
    <t>160f</t>
  </si>
  <si>
    <t>161a</t>
  </si>
  <si>
    <t>161b</t>
  </si>
  <si>
    <t>161c</t>
  </si>
  <si>
    <t>161d</t>
  </si>
  <si>
    <t>161e</t>
  </si>
  <si>
    <t>166a</t>
  </si>
  <si>
    <t>166b</t>
  </si>
  <si>
    <t>167a</t>
  </si>
  <si>
    <t>167b</t>
  </si>
  <si>
    <t>167c</t>
  </si>
  <si>
    <t>167d</t>
  </si>
  <si>
    <t>168a</t>
  </si>
  <si>
    <t>168b</t>
  </si>
  <si>
    <t>168c</t>
  </si>
  <si>
    <t>168d</t>
  </si>
  <si>
    <t>169a</t>
  </si>
  <si>
    <t>169b</t>
  </si>
  <si>
    <t>169c</t>
  </si>
  <si>
    <t>169d</t>
  </si>
  <si>
    <t>169e</t>
  </si>
  <si>
    <t>SDK příčka tl 200 mm profil CW+UW 100 desky 2xH2DF 12,5 TI 100 mm EI 90 Rw 50 dB</t>
  </si>
  <si>
    <t>" S vloženou tepelnou izolací tl. 100mm, s jednoduchými ocel.profily "</t>
  </si>
  <si>
    <t>" V ceně přesun hmot. "</t>
  </si>
  <si>
    <t>Oprava vnitřní vápenocementové štukové omítky stropů v rozsahu plochy do 50%</t>
  </si>
  <si>
    <t>Oprava vnitřní vápenocementové štukové omítky stěn v rozsahu plochy do 50%</t>
  </si>
  <si>
    <t>Těsnění dilatační spáry betonové konstrukce polyuretanovým tmelem do pl 4,0 cm2</t>
  </si>
  <si>
    <t>97899932 SPC</t>
  </si>
  <si>
    <t>Náklady spojené s odvozem a uložením suti - směsný stavební odpad (ŽB, PB, kámen, keramika, PVC a ostatní...)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</si>
  <si>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</si>
  <si>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Vodorovné / svislé staveništní přemístění suti "</t>
  </si>
  <si>
    <t>" Naložení suti "</t>
  </si>
  <si>
    <t>" Odvoz suti "</t>
  </si>
  <si>
    <t>" Poplatek za uložení suti "</t>
  </si>
  <si>
    <t>90a</t>
  </si>
  <si>
    <t>90b</t>
  </si>
  <si>
    <t>90c</t>
  </si>
  <si>
    <t>90d</t>
  </si>
  <si>
    <t>93</t>
  </si>
  <si>
    <t>96</t>
  </si>
  <si>
    <t>96c</t>
  </si>
  <si>
    <t>97a</t>
  </si>
  <si>
    <t>97b</t>
  </si>
  <si>
    <t>127a</t>
  </si>
  <si>
    <t>127b</t>
  </si>
  <si>
    <t>127c</t>
  </si>
  <si>
    <t>127d</t>
  </si>
  <si>
    <t>127e</t>
  </si>
  <si>
    <t>127f</t>
  </si>
  <si>
    <t>127g</t>
  </si>
  <si>
    <t>142f</t>
  </si>
  <si>
    <t>144c</t>
  </si>
  <si>
    <t>144d</t>
  </si>
  <si>
    <t>144e</t>
  </si>
  <si>
    <t>145a</t>
  </si>
  <si>
    <t>145b</t>
  </si>
  <si>
    <t>156a</t>
  </si>
  <si>
    <t>156b</t>
  </si>
  <si>
    <t>156c</t>
  </si>
  <si>
    <t>161f</t>
  </si>
  <si>
    <t>161g</t>
  </si>
  <si>
    <t>162a</t>
  </si>
  <si>
    <t>162b</t>
  </si>
  <si>
    <t>162c</t>
  </si>
  <si>
    <t>162d</t>
  </si>
  <si>
    <t>162e</t>
  </si>
  <si>
    <t>170a</t>
  </si>
  <si>
    <t>170b</t>
  </si>
  <si>
    <t>170c</t>
  </si>
  <si>
    <t>170d</t>
  </si>
  <si>
    <t>170e</t>
  </si>
  <si>
    <t>170f</t>
  </si>
  <si>
    <t>Nová vápenocementové nebo vápenné štukové omítky vnějších stěn, včetně říms a ozdobných fasádních prvků, dvouvrstvá, fasádní malba - odborné provedení, členitost fasády IV - Specifikace dle PD</t>
  </si>
  <si>
    <t>" V ceně zakrývání otvorů, konstrukcí a prvků proti znečištění. V ceně penetrace pod omítku, jádrové vrstvy, štuku, fasádní malby, odborné provedení a kopie štukové výzdoby, doplnění ozdobných prvků a říms. "</t>
  </si>
  <si>
    <t>" - Statické zajištění (příložky, vzpěry, ocelové zesilovací profily apod.), výměna poškozených částí, protézování, plombování, podložení vazných trámů podložkami, odbourání obezdění vazných trámů, očištění a impregnace dřevěných prvků proti biologickým škůdcům apod.  "</t>
  </si>
  <si>
    <t>" Cena obsahuje : dodávku výtahu včetně výtahových dveří, dopravu výtahu a jeho montáž, potřebné lešení a žebříky, osvětlení šachty, žebřík do prohlubně, prokabelování, zaškolení obsluhy, stavební práce související s instalací zdvihacího zařízení, montážní háky, montážní nosníky."</t>
  </si>
  <si>
    <t>" Cena obsahuje : dodávku výtahové plošiny, dopravu plošiny a její montáž, prokabelování, zaškolení obsluhy, stavební práce související s instalací zdvihacího zařízení, montážní háky apod."</t>
  </si>
  <si>
    <t xml:space="preserve">" - Součástí ceny odkrytí a zpřístupnění vazných trámů ( odbourání nášlapné vrstvy z půdovek, odstranění prkenného záklopu, hrubé prkenné podlahy, násypu apod.). " </t>
  </si>
  <si>
    <t>" - Statické zajištění (příložky, svorníky, ocelové zesilovací profily apod.), ověření a kontrola stavu všech trámů, které zůstanou zachovány, výměna poškozených částí, protézování, plombování, očištění a impregnace dřevěných prvků proti biologickým škůdcům apod.  "</t>
  </si>
  <si>
    <t xml:space="preserve">" - Zpětné zasypání trámů, položení záklopu a prkenné podlahy, pokládka půdovek. Náhrada poškozených prvků. " </t>
  </si>
  <si>
    <t>D+M Ostatní práce a dodávky jinde neuvedené PSV - Specifikace dle PD</t>
  </si>
  <si>
    <t>VÝKAZ VÝMĚR</t>
  </si>
  <si>
    <t>33099904 SPC</t>
  </si>
  <si>
    <t>Dmt+M Demontáž a zpětná montáž plošiny pro ZTP - Specifikace dle PD</t>
  </si>
  <si>
    <t>" Cena obsahuje : šetrnou demontáž plošiny včetně příslušenství, ochrana plošiny během výstavby, zpětný přemístění plošiny na místo osazení a zpětná montáž plošiny."</t>
  </si>
  <si>
    <t>" V ceně doplnění vybavení plošiny pro zajištění původní funkce (elektroinstalace, ovládací panely, prokabelování apod.). "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</si>
</sst>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###;\-####"/>
  </numFmts>
  <fonts count="34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2"/>
      <name val="MS Sans Serif"/>
      <family val="2"/>
      <charset val="238"/>
    </font>
    <font>
      <sz val="8"/>
      <color rgb="FF0000FF"/>
      <name val="Arial CE"/>
      <family val="2"/>
      <charset val="238"/>
    </font>
    <font>
      <sz val="8"/>
      <color indexed="10"/>
      <name val="MS Sans Serif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Calibri"/>
      <family val="2"/>
      <scheme val="minor"/>
    </font>
    <font>
      <b/>
      <sz val="10"/>
      <name val="MS Sans Serif"/>
      <family val="2"/>
      <charset val="238"/>
    </font>
    <font>
      <i/>
      <sz val="8"/>
      <name val="MS Sans Serif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216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165" fontId="8" fillId="0" borderId="4" xfId="0" applyNumberFormat="1" applyFont="1" applyBorder="1" applyAlignment="1" applyProtection="1">
      <alignment horizontal="right"/>
      <protection locked="0"/>
    </xf>
    <xf numFmtId="166" fontId="6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3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166" fontId="10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2" fontId="7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166" fontId="6" fillId="2" borderId="0" xfId="0" applyNumberFormat="1" applyFont="1" applyFill="1" applyAlignment="1" applyProtection="1">
      <alignment horizontal="right"/>
      <protection locked="0"/>
    </xf>
    <xf numFmtId="0" fontId="13" fillId="0" borderId="0" xfId="1" applyFont="1" applyFill="1" applyAlignment="1">
      <alignment vertical="center" wrapText="1"/>
    </xf>
    <xf numFmtId="0" fontId="9" fillId="0" borderId="0" xfId="0" applyFont="1" applyFill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4" fontId="19" fillId="2" borderId="0" xfId="0" applyNumberFormat="1" applyFont="1" applyFill="1" applyAlignment="1" applyProtection="1">
      <alignment horizontal="right" vertical="top"/>
      <protection locked="0"/>
    </xf>
    <xf numFmtId="0" fontId="0" fillId="2" borderId="0" xfId="0" applyFill="1"/>
    <xf numFmtId="0" fontId="13" fillId="2" borderId="0" xfId="1" applyFont="1" applyFill="1" applyAlignment="1">
      <alignment vertical="center"/>
    </xf>
    <xf numFmtId="0" fontId="0" fillId="0" borderId="0" xfId="0" applyFill="1" applyAlignment="1" applyProtection="1">
      <alignment horizontal="right" vertical="top"/>
      <protection locked="0"/>
    </xf>
    <xf numFmtId="165" fontId="3" fillId="2" borderId="2" xfId="0" applyNumberFormat="1" applyFont="1" applyFill="1" applyBorder="1" applyAlignment="1" applyProtection="1">
      <alignment horizontal="right"/>
      <protection locked="0"/>
    </xf>
    <xf numFmtId="4" fontId="19" fillId="0" borderId="0" xfId="0" applyNumberFormat="1" applyFont="1" applyFill="1" applyAlignment="1" applyProtection="1">
      <alignment horizontal="right" vertical="top"/>
      <protection locked="0"/>
    </xf>
    <xf numFmtId="4" fontId="0" fillId="0" borderId="0" xfId="0" applyNumberFormat="1" applyFill="1" applyAlignment="1" applyProtection="1">
      <alignment horizontal="right" vertical="top"/>
      <protection locked="0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22" fillId="2" borderId="2" xfId="0" applyFont="1" applyFill="1" applyBorder="1" applyAlignment="1" applyProtection="1">
      <alignment horizontal="right" vertical="center"/>
      <protection locked="0"/>
    </xf>
    <xf numFmtId="164" fontId="4" fillId="2" borderId="2" xfId="2" applyNumberFormat="1" applyFont="1" applyFill="1" applyBorder="1" applyAlignment="1">
      <alignment horizontal="right"/>
      <protection locked="0"/>
    </xf>
    <xf numFmtId="0" fontId="9" fillId="0" borderId="0" xfId="2" applyAlignment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2" fontId="7" fillId="0" borderId="2" xfId="0" applyNumberFormat="1" applyFont="1" applyFill="1" applyBorder="1" applyAlignment="1" applyProtection="1">
      <alignment horizontal="right"/>
      <protection locked="0"/>
    </xf>
    <xf numFmtId="0" fontId="9" fillId="0" borderId="0" xfId="2" applyBorder="1" applyAlignment="1">
      <alignment horizontal="left" vertical="top"/>
      <protection locked="0"/>
    </xf>
    <xf numFmtId="0" fontId="3" fillId="2" borderId="2" xfId="2" applyFont="1" applyFill="1" applyBorder="1" applyAlignment="1">
      <alignment horizontal="left" wrapText="1"/>
      <protection locked="0"/>
    </xf>
    <xf numFmtId="2" fontId="3" fillId="2" borderId="2" xfId="2" applyNumberFormat="1" applyFont="1" applyFill="1" applyBorder="1" applyAlignment="1">
      <alignment horizontal="right"/>
      <protection locked="0"/>
    </xf>
    <xf numFmtId="166" fontId="3" fillId="2" borderId="2" xfId="2" applyNumberFormat="1" applyFont="1" applyFill="1" applyBorder="1" applyAlignment="1">
      <alignment horizontal="right"/>
      <protection locked="0"/>
    </xf>
    <xf numFmtId="166" fontId="4" fillId="2" borderId="2" xfId="2" applyNumberFormat="1" applyFont="1" applyFill="1" applyBorder="1" applyAlignment="1">
      <alignment horizontal="center"/>
      <protection locked="0"/>
    </xf>
    <xf numFmtId="0" fontId="9" fillId="0" borderId="0" xfId="2" applyFill="1" applyAlignment="1">
      <alignment horizontal="left" vertical="top"/>
      <protection locked="0"/>
    </xf>
    <xf numFmtId="2" fontId="9" fillId="0" borderId="0" xfId="2" applyNumberFormat="1" applyFill="1" applyAlignment="1">
      <alignment horizontal="left" vertical="top"/>
      <protection locked="0"/>
    </xf>
    <xf numFmtId="0" fontId="1" fillId="0" borderId="0" xfId="2" applyFont="1" applyFill="1" applyAlignment="1" applyProtection="1">
      <alignment horizontal="left"/>
    </xf>
    <xf numFmtId="0" fontId="2" fillId="0" borderId="0" xfId="2" applyFont="1" applyFill="1" applyAlignment="1" applyProtection="1">
      <alignment horizontal="left"/>
    </xf>
    <xf numFmtId="0" fontId="9" fillId="0" borderId="0" xfId="2" applyAlignment="1">
      <alignment vertical="top"/>
      <protection locked="0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168" fontId="4" fillId="0" borderId="9" xfId="2" applyNumberFormat="1" applyFont="1" applyFill="1" applyBorder="1" applyAlignment="1" applyProtection="1">
      <alignment horizontal="center" vertical="center"/>
    </xf>
    <xf numFmtId="168" fontId="4" fillId="0" borderId="10" xfId="2" applyNumberFormat="1" applyFont="1" applyFill="1" applyBorder="1" applyAlignment="1" applyProtection="1">
      <alignment horizontal="center" vertical="center"/>
    </xf>
    <xf numFmtId="168" fontId="4" fillId="0" borderId="11" xfId="2" applyNumberFormat="1" applyFont="1" applyFill="1" applyBorder="1" applyAlignment="1" applyProtection="1">
      <alignment horizontal="center" vertical="center"/>
    </xf>
    <xf numFmtId="0" fontId="9" fillId="0" borderId="12" xfId="2" applyFont="1" applyFill="1" applyBorder="1" applyAlignment="1" applyProtection="1">
      <alignment horizontal="left"/>
    </xf>
    <xf numFmtId="0" fontId="9" fillId="0" borderId="13" xfId="2" applyFont="1" applyFill="1" applyBorder="1" applyAlignment="1" applyProtection="1">
      <alignment horizontal="left"/>
    </xf>
    <xf numFmtId="0" fontId="23" fillId="0" borderId="2" xfId="2" applyFont="1" applyBorder="1" applyAlignment="1" applyProtection="1">
      <alignment horizontal="center" vertical="center"/>
    </xf>
    <xf numFmtId="0" fontId="23" fillId="0" borderId="2" xfId="2" applyFont="1" applyBorder="1" applyAlignment="1" applyProtection="1">
      <alignment horizontal="left" vertical="center"/>
    </xf>
    <xf numFmtId="166" fontId="23" fillId="0" borderId="2" xfId="2" applyNumberFormat="1" applyFont="1" applyBorder="1" applyAlignment="1" applyProtection="1">
      <alignment horizontal="right" vertical="center"/>
    </xf>
    <xf numFmtId="0" fontId="24" fillId="0" borderId="2" xfId="2" applyFont="1" applyBorder="1" applyAlignment="1" applyProtection="1">
      <alignment horizontal="center" vertical="center"/>
    </xf>
    <xf numFmtId="0" fontId="24" fillId="0" borderId="2" xfId="2" applyFont="1" applyBorder="1" applyAlignment="1" applyProtection="1">
      <alignment horizontal="left" vertical="center"/>
    </xf>
    <xf numFmtId="166" fontId="24" fillId="0" borderId="2" xfId="2" applyNumberFormat="1" applyFont="1" applyBorder="1" applyAlignment="1" applyProtection="1">
      <alignment horizontal="right" vertical="center"/>
    </xf>
    <xf numFmtId="166" fontId="24" fillId="2" borderId="2" xfId="2" applyNumberFormat="1" applyFont="1" applyFill="1" applyBorder="1" applyAlignment="1" applyProtection="1">
      <alignment horizontal="right" vertical="center"/>
    </xf>
    <xf numFmtId="0" fontId="25" fillId="0" borderId="2" xfId="2" applyFont="1" applyBorder="1" applyAlignment="1" applyProtection="1">
      <alignment horizontal="center" vertical="center"/>
    </xf>
    <xf numFmtId="0" fontId="25" fillId="0" borderId="2" xfId="2" applyFont="1" applyBorder="1" applyAlignment="1" applyProtection="1">
      <alignment horizontal="left" vertical="center"/>
    </xf>
    <xf numFmtId="166" fontId="25" fillId="0" borderId="2" xfId="2" applyNumberFormat="1" applyFont="1" applyBorder="1" applyAlignment="1" applyProtection="1">
      <alignment horizontal="right" vertical="center"/>
    </xf>
    <xf numFmtId="0" fontId="26" fillId="0" borderId="2" xfId="2" applyFont="1" applyBorder="1" applyAlignment="1" applyProtection="1">
      <alignment horizontal="left" vertical="center"/>
    </xf>
    <xf numFmtId="0" fontId="27" fillId="0" borderId="2" xfId="2" applyFont="1" applyBorder="1" applyAlignment="1" applyProtection="1">
      <alignment horizontal="left" vertical="center"/>
    </xf>
    <xf numFmtId="166" fontId="27" fillId="0" borderId="2" xfId="2" applyNumberFormat="1" applyFont="1" applyBorder="1" applyAlignment="1" applyProtection="1">
      <alignment horizontal="right" vertical="center"/>
    </xf>
    <xf numFmtId="0" fontId="26" fillId="0" borderId="14" xfId="2" applyFont="1" applyBorder="1" applyAlignment="1" applyProtection="1">
      <alignment horizontal="left" vertical="center"/>
    </xf>
    <xf numFmtId="166" fontId="27" fillId="0" borderId="14" xfId="2" applyNumberFormat="1" applyFont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wrapText="1"/>
      <protection locked="0"/>
    </xf>
    <xf numFmtId="164" fontId="21" fillId="0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/>
    <xf numFmtId="2" fontId="0" fillId="0" borderId="0" xfId="0" applyNumberFormat="1" applyFill="1" applyAlignment="1" applyProtection="1">
      <alignment horizontal="left" vertical="top"/>
      <protection locked="0"/>
    </xf>
    <xf numFmtId="0" fontId="0" fillId="0" borderId="0" xfId="0" applyFont="1" applyAlignment="1" applyProtection="1">
      <alignment vertical="top"/>
      <protection locked="0"/>
    </xf>
    <xf numFmtId="164" fontId="4" fillId="0" borderId="2" xfId="17" applyNumberFormat="1" applyFont="1" applyFill="1" applyBorder="1" applyAlignment="1">
      <alignment horizontal="right"/>
      <protection locked="0"/>
    </xf>
    <xf numFmtId="0" fontId="4" fillId="0" borderId="2" xfId="17" applyFont="1" applyFill="1" applyBorder="1" applyAlignment="1">
      <alignment horizontal="left" wrapText="1"/>
      <protection locked="0"/>
    </xf>
    <xf numFmtId="166" fontId="4" fillId="0" borderId="2" xfId="17" applyNumberFormat="1" applyFont="1" applyFill="1" applyBorder="1" applyAlignment="1">
      <alignment horizontal="center"/>
      <protection locked="0"/>
    </xf>
    <xf numFmtId="0" fontId="21" fillId="0" borderId="2" xfId="0" applyFont="1" applyFill="1" applyBorder="1" applyAlignment="1" applyProtection="1">
      <alignment horizontal="left" wrapText="1"/>
      <protection locked="0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2" fontId="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lef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9" fillId="2" borderId="0" xfId="2" applyFill="1" applyAlignment="1">
      <alignment horizontal="left" vertical="top"/>
      <protection locked="0"/>
    </xf>
    <xf numFmtId="0" fontId="28" fillId="0" borderId="0" xfId="0" applyFont="1" applyFill="1" applyAlignment="1" applyProtection="1">
      <alignment horizontal="left" vertical="top"/>
      <protection locked="0"/>
    </xf>
    <xf numFmtId="0" fontId="28" fillId="0" borderId="0" xfId="0" applyFont="1" applyFill="1" applyAlignment="1" applyProtection="1">
      <alignment horizontal="right" vertical="top"/>
      <protection locked="0"/>
    </xf>
    <xf numFmtId="0" fontId="0" fillId="2" borderId="2" xfId="0" applyFont="1" applyFill="1" applyBorder="1" applyAlignment="1" applyProtection="1">
      <alignment horizontal="left" vertical="top"/>
      <protection locked="0"/>
    </xf>
    <xf numFmtId="0" fontId="9" fillId="0" borderId="0" xfId="2" applyFill="1" applyBorder="1" applyAlignment="1">
      <alignment horizontal="left" vertical="top"/>
      <protection locked="0"/>
    </xf>
    <xf numFmtId="0" fontId="20" fillId="0" borderId="0" xfId="0" applyFont="1" applyFill="1" applyAlignment="1" applyProtection="1">
      <alignment horizontal="left" vertical="top"/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167" fontId="3" fillId="2" borderId="2" xfId="0" applyNumberFormat="1" applyFont="1" applyFill="1" applyBorder="1" applyAlignment="1" applyProtection="1">
      <alignment horizontal="right"/>
      <protection locked="0"/>
    </xf>
    <xf numFmtId="166" fontId="9" fillId="0" borderId="0" xfId="2" applyNumberFormat="1" applyAlignment="1">
      <alignment horizontal="left" vertical="top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49" fontId="4" fillId="2" borderId="2" xfId="0" applyNumberFormat="1" applyFont="1" applyFill="1" applyBorder="1" applyAlignment="1" applyProtection="1">
      <alignment horizontal="left" wrapText="1"/>
      <protection locked="0"/>
    </xf>
    <xf numFmtId="0" fontId="8" fillId="2" borderId="2" xfId="0" applyFont="1" applyFill="1" applyBorder="1" applyAlignment="1" applyProtection="1">
      <alignment horizontal="left" wrapText="1"/>
      <protection locked="0"/>
    </xf>
    <xf numFmtId="0" fontId="20" fillId="2" borderId="0" xfId="0" applyFont="1" applyFill="1" applyAlignment="1" applyProtection="1">
      <alignment vertical="top"/>
      <protection locked="0"/>
    </xf>
    <xf numFmtId="164" fontId="21" fillId="2" borderId="2" xfId="0" applyNumberFormat="1" applyFont="1" applyFill="1" applyBorder="1" applyAlignment="1" applyProtection="1">
      <alignment horizontal="right"/>
      <protection locked="0"/>
    </xf>
    <xf numFmtId="0" fontId="21" fillId="2" borderId="2" xfId="0" applyFont="1" applyFill="1" applyBorder="1" applyAlignment="1" applyProtection="1">
      <alignment horizontal="left" wrapText="1"/>
      <protection locked="0"/>
    </xf>
    <xf numFmtId="0" fontId="20" fillId="0" borderId="0" xfId="0" applyFont="1" applyAlignment="1" applyProtection="1">
      <alignment vertical="top"/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0" fontId="29" fillId="0" borderId="0" xfId="0" applyFont="1" applyFill="1" applyAlignment="1" applyProtection="1">
      <alignment horizontal="right" vertical="top"/>
      <protection locked="0"/>
    </xf>
    <xf numFmtId="0" fontId="30" fillId="0" borderId="0" xfId="0" applyFont="1" applyFill="1" applyAlignment="1" applyProtection="1">
      <alignment horizontal="right" vertical="center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164" fontId="31" fillId="0" borderId="0" xfId="0" applyNumberFormat="1" applyFont="1" applyFill="1" applyBorder="1" applyAlignment="1" applyProtection="1">
      <alignment horizontal="right"/>
      <protection locked="0"/>
    </xf>
    <xf numFmtId="0" fontId="31" fillId="0" borderId="0" xfId="0" applyFont="1" applyFill="1" applyBorder="1" applyAlignment="1" applyProtection="1">
      <alignment horizontal="left" wrapText="1"/>
      <protection locked="0"/>
    </xf>
    <xf numFmtId="0" fontId="32" fillId="0" borderId="0" xfId="0" applyFont="1" applyFill="1" applyBorder="1" applyAlignment="1" applyProtection="1">
      <alignment horizontal="left" wrapText="1"/>
      <protection locked="0"/>
    </xf>
    <xf numFmtId="2" fontId="31" fillId="0" borderId="0" xfId="0" applyNumberFormat="1" applyFont="1" applyFill="1" applyBorder="1" applyAlignment="1" applyProtection="1">
      <alignment horizontal="right"/>
      <protection locked="0"/>
    </xf>
    <xf numFmtId="166" fontId="31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left" vertical="center"/>
      <protection locked="0"/>
    </xf>
    <xf numFmtId="2" fontId="0" fillId="0" borderId="0" xfId="0" applyNumberFormat="1" applyFill="1" applyAlignment="1" applyProtection="1">
      <alignment vertical="top"/>
      <protection locked="0"/>
    </xf>
    <xf numFmtId="2" fontId="0" fillId="0" borderId="0" xfId="0" applyNumberFormat="1" applyAlignment="1" applyProtection="1">
      <alignment horizontal="left" vertical="top"/>
      <protection locked="0"/>
    </xf>
    <xf numFmtId="2" fontId="9" fillId="0" borderId="0" xfId="2" applyNumberFormat="1" applyAlignment="1">
      <alignment horizontal="left" vertical="top"/>
      <protection locked="0"/>
    </xf>
    <xf numFmtId="2" fontId="20" fillId="0" borderId="0" xfId="0" applyNumberFormat="1" applyFont="1" applyAlignment="1" applyProtection="1">
      <alignment vertical="top"/>
      <protection locked="0"/>
    </xf>
    <xf numFmtId="2" fontId="9" fillId="2" borderId="0" xfId="2" applyNumberFormat="1" applyFill="1" applyAlignment="1">
      <alignment horizontal="left" vertical="top"/>
      <protection locked="0"/>
    </xf>
    <xf numFmtId="164" fontId="4" fillId="2" borderId="2" xfId="17" applyNumberFormat="1" applyFont="1" applyFill="1" applyBorder="1" applyAlignment="1">
      <alignment horizontal="right"/>
      <protection locked="0"/>
    </xf>
    <xf numFmtId="0" fontId="4" fillId="2" borderId="2" xfId="17" applyFont="1" applyFill="1" applyBorder="1" applyAlignment="1">
      <alignment horizontal="left" wrapText="1"/>
      <protection locked="0"/>
    </xf>
    <xf numFmtId="2" fontId="4" fillId="2" borderId="2" xfId="17" applyNumberFormat="1" applyFont="1" applyFill="1" applyBorder="1" applyAlignment="1">
      <alignment horizontal="right" wrapText="1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17" applyNumberFormat="1" applyFont="1" applyFill="1" applyBorder="1" applyAlignment="1">
      <alignment horizontal="right"/>
      <protection locked="0"/>
    </xf>
    <xf numFmtId="2" fontId="4" fillId="2" borderId="2" xfId="17" applyNumberFormat="1" applyFont="1" applyFill="1" applyBorder="1" applyAlignment="1">
      <protection locked="0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164" fontId="7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center" vertical="top"/>
      <protection locked="0"/>
    </xf>
    <xf numFmtId="2" fontId="4" fillId="2" borderId="2" xfId="0" applyNumberFormat="1" applyFont="1" applyFill="1" applyBorder="1" applyAlignment="1" applyProtection="1">
      <protection locked="0"/>
    </xf>
    <xf numFmtId="16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166" fontId="8" fillId="2" borderId="2" xfId="0" applyNumberFormat="1" applyFont="1" applyFill="1" applyBorder="1" applyAlignment="1" applyProtection="1">
      <alignment horizontal="right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49" fontId="8" fillId="2" borderId="2" xfId="0" applyNumberFormat="1" applyFont="1" applyFill="1" applyBorder="1" applyAlignment="1" applyProtection="1">
      <alignment horizontal="left" wrapText="1"/>
      <protection locked="0"/>
    </xf>
    <xf numFmtId="49" fontId="7" fillId="2" borderId="2" xfId="0" applyNumberFormat="1" applyFont="1" applyFill="1" applyBorder="1" applyAlignment="1" applyProtection="1">
      <alignment horizontal="left" wrapText="1"/>
      <protection locked="0"/>
    </xf>
    <xf numFmtId="0" fontId="20" fillId="2" borderId="2" xfId="0" applyFont="1" applyFill="1" applyBorder="1" applyAlignment="1" applyProtection="1">
      <alignment vertical="top"/>
      <protection locked="0"/>
    </xf>
    <xf numFmtId="1" fontId="4" fillId="2" borderId="2" xfId="0" applyNumberFormat="1" applyFont="1" applyFill="1" applyBorder="1" applyAlignment="1" applyProtection="1">
      <alignment horizontal="right" wrapText="1"/>
      <protection locked="0"/>
    </xf>
    <xf numFmtId="2" fontId="4" fillId="2" borderId="2" xfId="0" applyNumberFormat="1" applyFont="1" applyFill="1" applyBorder="1" applyAlignment="1" applyProtection="1">
      <alignment horizontal="right" wrapText="1"/>
      <protection locked="0"/>
    </xf>
    <xf numFmtId="0" fontId="32" fillId="2" borderId="2" xfId="0" applyFont="1" applyFill="1" applyBorder="1" applyAlignment="1" applyProtection="1">
      <alignment horizontal="left" wrapText="1"/>
      <protection locked="0"/>
    </xf>
    <xf numFmtId="49" fontId="4" fillId="2" borderId="2" xfId="0" applyNumberFormat="1" applyFont="1" applyFill="1" applyBorder="1" applyAlignment="1" applyProtection="1">
      <alignment horizontal="right" wrapText="1"/>
      <protection locked="0"/>
    </xf>
    <xf numFmtId="2" fontId="4" fillId="2" borderId="2" xfId="0" applyNumberFormat="1" applyFont="1" applyFill="1" applyBorder="1" applyAlignment="1" applyProtection="1">
      <alignment horizontal="center"/>
      <protection locked="0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2" fontId="7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0" fontId="20" fillId="2" borderId="2" xfId="0" applyFont="1" applyFill="1" applyBorder="1" applyAlignment="1" applyProtection="1">
      <alignment horizontal="left" vertical="top"/>
      <protection locked="0"/>
    </xf>
    <xf numFmtId="49" fontId="3" fillId="2" borderId="2" xfId="0" applyNumberFormat="1" applyFont="1" applyFill="1" applyBorder="1" applyAlignment="1" applyProtection="1">
      <alignment horizontal="left" wrapText="1"/>
      <protection locked="0"/>
    </xf>
    <xf numFmtId="0" fontId="7" fillId="2" borderId="2" xfId="14" applyFont="1" applyFill="1" applyBorder="1" applyAlignment="1" applyProtection="1">
      <alignment horizontal="left" wrapText="1"/>
      <protection locked="0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166" fontId="8" fillId="2" borderId="2" xfId="0" applyNumberFormat="1" applyFont="1" applyFill="1" applyBorder="1" applyAlignment="1" applyProtection="1">
      <alignment horizontal="right" vertical="center"/>
      <protection locked="0"/>
    </xf>
    <xf numFmtId="166" fontId="4" fillId="2" borderId="2" xfId="17" applyNumberFormat="1" applyFont="1" applyFill="1" applyBorder="1" applyAlignment="1">
      <alignment horizontal="center"/>
      <protection locked="0"/>
    </xf>
    <xf numFmtId="0" fontId="9" fillId="2" borderId="2" xfId="2" applyFill="1" applyBorder="1" applyAlignment="1">
      <alignment horizontal="left" vertical="top"/>
      <protection locked="0"/>
    </xf>
    <xf numFmtId="0" fontId="32" fillId="0" borderId="2" xfId="0" applyFont="1" applyFill="1" applyBorder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49" fontId="4" fillId="0" borderId="2" xfId="0" applyNumberFormat="1" applyFont="1" applyFill="1" applyBorder="1" applyAlignment="1" applyProtection="1">
      <alignment horizontal="left" wrapText="1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49" fontId="8" fillId="0" borderId="2" xfId="0" applyNumberFormat="1" applyFont="1" applyFill="1" applyBorder="1" applyAlignment="1" applyProtection="1">
      <alignment horizontal="left" wrapText="1"/>
      <protection locked="0"/>
    </xf>
    <xf numFmtId="0" fontId="8" fillId="0" borderId="2" xfId="0" applyFont="1" applyFill="1" applyBorder="1" applyAlignment="1" applyProtection="1">
      <alignment horizontal="left" wrapText="1"/>
      <protection locked="0"/>
    </xf>
    <xf numFmtId="2" fontId="7" fillId="0" borderId="2" xfId="0" applyNumberFormat="1" applyFont="1" applyFill="1" applyBorder="1" applyAlignment="1" applyProtection="1">
      <alignment horizontal="right" wrapText="1"/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7" fillId="0" borderId="2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Alignment="1" applyProtection="1">
      <alignment horizontal="left" vertical="top"/>
      <protection locked="0"/>
    </xf>
    <xf numFmtId="2" fontId="33" fillId="0" borderId="0" xfId="0" applyNumberFormat="1" applyFont="1" applyAlignment="1" applyProtection="1">
      <alignment horizontal="left" vertical="top"/>
      <protection locked="0"/>
    </xf>
    <xf numFmtId="0" fontId="33" fillId="0" borderId="0" xfId="0" applyFont="1" applyAlignment="1" applyProtection="1">
      <alignment horizontal="right" vertical="top"/>
      <protection locked="0"/>
    </xf>
    <xf numFmtId="0" fontId="9" fillId="0" borderId="0" xfId="0" applyFont="1" applyAlignment="1" applyProtection="1">
      <alignment horizontal="right" vertical="top"/>
      <protection locked="0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13" fillId="0" borderId="0" xfId="1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3" fillId="0" borderId="0" xfId="1" applyFont="1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9" fillId="0" borderId="0" xfId="2" applyAlignment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B48" sqref="B48"/>
    </sheetView>
  </sheetViews>
  <sheetFormatPr defaultRowHeight="10.5"/>
  <cols>
    <col min="1" max="1" width="11.7109375" style="82" customWidth="1"/>
    <col min="2" max="2" width="58.85546875" style="82" customWidth="1"/>
    <col min="3" max="3" width="15.7109375" style="82" customWidth="1"/>
    <col min="4" max="256" width="9.140625" style="82"/>
    <col min="257" max="257" width="11.7109375" style="82" customWidth="1"/>
    <col min="258" max="258" width="58.85546875" style="82" customWidth="1"/>
    <col min="259" max="259" width="15.7109375" style="82" customWidth="1"/>
    <col min="260" max="512" width="9.140625" style="82"/>
    <col min="513" max="513" width="11.7109375" style="82" customWidth="1"/>
    <col min="514" max="514" width="58.85546875" style="82" customWidth="1"/>
    <col min="515" max="515" width="15.7109375" style="82" customWidth="1"/>
    <col min="516" max="768" width="9.140625" style="82"/>
    <col min="769" max="769" width="11.7109375" style="82" customWidth="1"/>
    <col min="770" max="770" width="58.85546875" style="82" customWidth="1"/>
    <col min="771" max="771" width="15.7109375" style="82" customWidth="1"/>
    <col min="772" max="1024" width="9.140625" style="82"/>
    <col min="1025" max="1025" width="11.7109375" style="82" customWidth="1"/>
    <col min="1026" max="1026" width="58.85546875" style="82" customWidth="1"/>
    <col min="1027" max="1027" width="15.7109375" style="82" customWidth="1"/>
    <col min="1028" max="1280" width="9.140625" style="82"/>
    <col min="1281" max="1281" width="11.7109375" style="82" customWidth="1"/>
    <col min="1282" max="1282" width="58.85546875" style="82" customWidth="1"/>
    <col min="1283" max="1283" width="15.7109375" style="82" customWidth="1"/>
    <col min="1284" max="1536" width="9.140625" style="82"/>
    <col min="1537" max="1537" width="11.7109375" style="82" customWidth="1"/>
    <col min="1538" max="1538" width="58.85546875" style="82" customWidth="1"/>
    <col min="1539" max="1539" width="15.7109375" style="82" customWidth="1"/>
    <col min="1540" max="1792" width="9.140625" style="82"/>
    <col min="1793" max="1793" width="11.7109375" style="82" customWidth="1"/>
    <col min="1794" max="1794" width="58.85546875" style="82" customWidth="1"/>
    <col min="1795" max="1795" width="15.7109375" style="82" customWidth="1"/>
    <col min="1796" max="2048" width="9.140625" style="82"/>
    <col min="2049" max="2049" width="11.7109375" style="82" customWidth="1"/>
    <col min="2050" max="2050" width="58.85546875" style="82" customWidth="1"/>
    <col min="2051" max="2051" width="15.7109375" style="82" customWidth="1"/>
    <col min="2052" max="2304" width="9.140625" style="82"/>
    <col min="2305" max="2305" width="11.7109375" style="82" customWidth="1"/>
    <col min="2306" max="2306" width="58.85546875" style="82" customWidth="1"/>
    <col min="2307" max="2307" width="15.7109375" style="82" customWidth="1"/>
    <col min="2308" max="2560" width="9.140625" style="82"/>
    <col min="2561" max="2561" width="11.7109375" style="82" customWidth="1"/>
    <col min="2562" max="2562" width="58.85546875" style="82" customWidth="1"/>
    <col min="2563" max="2563" width="15.7109375" style="82" customWidth="1"/>
    <col min="2564" max="2816" width="9.140625" style="82"/>
    <col min="2817" max="2817" width="11.7109375" style="82" customWidth="1"/>
    <col min="2818" max="2818" width="58.85546875" style="82" customWidth="1"/>
    <col min="2819" max="2819" width="15.7109375" style="82" customWidth="1"/>
    <col min="2820" max="3072" width="9.140625" style="82"/>
    <col min="3073" max="3073" width="11.7109375" style="82" customWidth="1"/>
    <col min="3074" max="3074" width="58.85546875" style="82" customWidth="1"/>
    <col min="3075" max="3075" width="15.7109375" style="82" customWidth="1"/>
    <col min="3076" max="3328" width="9.140625" style="82"/>
    <col min="3329" max="3329" width="11.7109375" style="82" customWidth="1"/>
    <col min="3330" max="3330" width="58.85546875" style="82" customWidth="1"/>
    <col min="3331" max="3331" width="15.7109375" style="82" customWidth="1"/>
    <col min="3332" max="3584" width="9.140625" style="82"/>
    <col min="3585" max="3585" width="11.7109375" style="82" customWidth="1"/>
    <col min="3586" max="3586" width="58.85546875" style="82" customWidth="1"/>
    <col min="3587" max="3587" width="15.7109375" style="82" customWidth="1"/>
    <col min="3588" max="3840" width="9.140625" style="82"/>
    <col min="3841" max="3841" width="11.7109375" style="82" customWidth="1"/>
    <col min="3842" max="3842" width="58.85546875" style="82" customWidth="1"/>
    <col min="3843" max="3843" width="15.7109375" style="82" customWidth="1"/>
    <col min="3844" max="4096" width="9.140625" style="82"/>
    <col min="4097" max="4097" width="11.7109375" style="82" customWidth="1"/>
    <col min="4098" max="4098" width="58.85546875" style="82" customWidth="1"/>
    <col min="4099" max="4099" width="15.7109375" style="82" customWidth="1"/>
    <col min="4100" max="4352" width="9.140625" style="82"/>
    <col min="4353" max="4353" width="11.7109375" style="82" customWidth="1"/>
    <col min="4354" max="4354" width="58.85546875" style="82" customWidth="1"/>
    <col min="4355" max="4355" width="15.7109375" style="82" customWidth="1"/>
    <col min="4356" max="4608" width="9.140625" style="82"/>
    <col min="4609" max="4609" width="11.7109375" style="82" customWidth="1"/>
    <col min="4610" max="4610" width="58.85546875" style="82" customWidth="1"/>
    <col min="4611" max="4611" width="15.7109375" style="82" customWidth="1"/>
    <col min="4612" max="4864" width="9.140625" style="82"/>
    <col min="4865" max="4865" width="11.7109375" style="82" customWidth="1"/>
    <col min="4866" max="4866" width="58.85546875" style="82" customWidth="1"/>
    <col min="4867" max="4867" width="15.7109375" style="82" customWidth="1"/>
    <col min="4868" max="5120" width="9.140625" style="82"/>
    <col min="5121" max="5121" width="11.7109375" style="82" customWidth="1"/>
    <col min="5122" max="5122" width="58.85546875" style="82" customWidth="1"/>
    <col min="5123" max="5123" width="15.7109375" style="82" customWidth="1"/>
    <col min="5124" max="5376" width="9.140625" style="82"/>
    <col min="5377" max="5377" width="11.7109375" style="82" customWidth="1"/>
    <col min="5378" max="5378" width="58.85546875" style="82" customWidth="1"/>
    <col min="5379" max="5379" width="15.7109375" style="82" customWidth="1"/>
    <col min="5380" max="5632" width="9.140625" style="82"/>
    <col min="5633" max="5633" width="11.7109375" style="82" customWidth="1"/>
    <col min="5634" max="5634" width="58.85546875" style="82" customWidth="1"/>
    <col min="5635" max="5635" width="15.7109375" style="82" customWidth="1"/>
    <col min="5636" max="5888" width="9.140625" style="82"/>
    <col min="5889" max="5889" width="11.7109375" style="82" customWidth="1"/>
    <col min="5890" max="5890" width="58.85546875" style="82" customWidth="1"/>
    <col min="5891" max="5891" width="15.7109375" style="82" customWidth="1"/>
    <col min="5892" max="6144" width="9.140625" style="82"/>
    <col min="6145" max="6145" width="11.7109375" style="82" customWidth="1"/>
    <col min="6146" max="6146" width="58.85546875" style="82" customWidth="1"/>
    <col min="6147" max="6147" width="15.7109375" style="82" customWidth="1"/>
    <col min="6148" max="6400" width="9.140625" style="82"/>
    <col min="6401" max="6401" width="11.7109375" style="82" customWidth="1"/>
    <col min="6402" max="6402" width="58.85546875" style="82" customWidth="1"/>
    <col min="6403" max="6403" width="15.7109375" style="82" customWidth="1"/>
    <col min="6404" max="6656" width="9.140625" style="82"/>
    <col min="6657" max="6657" width="11.7109375" style="82" customWidth="1"/>
    <col min="6658" max="6658" width="58.85546875" style="82" customWidth="1"/>
    <col min="6659" max="6659" width="15.7109375" style="82" customWidth="1"/>
    <col min="6660" max="6912" width="9.140625" style="82"/>
    <col min="6913" max="6913" width="11.7109375" style="82" customWidth="1"/>
    <col min="6914" max="6914" width="58.85546875" style="82" customWidth="1"/>
    <col min="6915" max="6915" width="15.7109375" style="82" customWidth="1"/>
    <col min="6916" max="7168" width="9.140625" style="82"/>
    <col min="7169" max="7169" width="11.7109375" style="82" customWidth="1"/>
    <col min="7170" max="7170" width="58.85546875" style="82" customWidth="1"/>
    <col min="7171" max="7171" width="15.7109375" style="82" customWidth="1"/>
    <col min="7172" max="7424" width="9.140625" style="82"/>
    <col min="7425" max="7425" width="11.7109375" style="82" customWidth="1"/>
    <col min="7426" max="7426" width="58.85546875" style="82" customWidth="1"/>
    <col min="7427" max="7427" width="15.7109375" style="82" customWidth="1"/>
    <col min="7428" max="7680" width="9.140625" style="82"/>
    <col min="7681" max="7681" width="11.7109375" style="82" customWidth="1"/>
    <col min="7682" max="7682" width="58.85546875" style="82" customWidth="1"/>
    <col min="7683" max="7683" width="15.7109375" style="82" customWidth="1"/>
    <col min="7684" max="7936" width="9.140625" style="82"/>
    <col min="7937" max="7937" width="11.7109375" style="82" customWidth="1"/>
    <col min="7938" max="7938" width="58.85546875" style="82" customWidth="1"/>
    <col min="7939" max="7939" width="15.7109375" style="82" customWidth="1"/>
    <col min="7940" max="8192" width="9.140625" style="82"/>
    <col min="8193" max="8193" width="11.7109375" style="82" customWidth="1"/>
    <col min="8194" max="8194" width="58.85546875" style="82" customWidth="1"/>
    <col min="8195" max="8195" width="15.7109375" style="82" customWidth="1"/>
    <col min="8196" max="8448" width="9.140625" style="82"/>
    <col min="8449" max="8449" width="11.7109375" style="82" customWidth="1"/>
    <col min="8450" max="8450" width="58.85546875" style="82" customWidth="1"/>
    <col min="8451" max="8451" width="15.7109375" style="82" customWidth="1"/>
    <col min="8452" max="8704" width="9.140625" style="82"/>
    <col min="8705" max="8705" width="11.7109375" style="82" customWidth="1"/>
    <col min="8706" max="8706" width="58.85546875" style="82" customWidth="1"/>
    <col min="8707" max="8707" width="15.7109375" style="82" customWidth="1"/>
    <col min="8708" max="8960" width="9.140625" style="82"/>
    <col min="8961" max="8961" width="11.7109375" style="82" customWidth="1"/>
    <col min="8962" max="8962" width="58.85546875" style="82" customWidth="1"/>
    <col min="8963" max="8963" width="15.7109375" style="82" customWidth="1"/>
    <col min="8964" max="9216" width="9.140625" style="82"/>
    <col min="9217" max="9217" width="11.7109375" style="82" customWidth="1"/>
    <col min="9218" max="9218" width="58.85546875" style="82" customWidth="1"/>
    <col min="9219" max="9219" width="15.7109375" style="82" customWidth="1"/>
    <col min="9220" max="9472" width="9.140625" style="82"/>
    <col min="9473" max="9473" width="11.7109375" style="82" customWidth="1"/>
    <col min="9474" max="9474" width="58.85546875" style="82" customWidth="1"/>
    <col min="9475" max="9475" width="15.7109375" style="82" customWidth="1"/>
    <col min="9476" max="9728" width="9.140625" style="82"/>
    <col min="9729" max="9729" width="11.7109375" style="82" customWidth="1"/>
    <col min="9730" max="9730" width="58.85546875" style="82" customWidth="1"/>
    <col min="9731" max="9731" width="15.7109375" style="82" customWidth="1"/>
    <col min="9732" max="9984" width="9.140625" style="82"/>
    <col min="9985" max="9985" width="11.7109375" style="82" customWidth="1"/>
    <col min="9986" max="9986" width="58.85546875" style="82" customWidth="1"/>
    <col min="9987" max="9987" width="15.7109375" style="82" customWidth="1"/>
    <col min="9988" max="10240" width="9.140625" style="82"/>
    <col min="10241" max="10241" width="11.7109375" style="82" customWidth="1"/>
    <col min="10242" max="10242" width="58.85546875" style="82" customWidth="1"/>
    <col min="10243" max="10243" width="15.7109375" style="82" customWidth="1"/>
    <col min="10244" max="10496" width="9.140625" style="82"/>
    <col min="10497" max="10497" width="11.7109375" style="82" customWidth="1"/>
    <col min="10498" max="10498" width="58.85546875" style="82" customWidth="1"/>
    <col min="10499" max="10499" width="15.7109375" style="82" customWidth="1"/>
    <col min="10500" max="10752" width="9.140625" style="82"/>
    <col min="10753" max="10753" width="11.7109375" style="82" customWidth="1"/>
    <col min="10754" max="10754" width="58.85546875" style="82" customWidth="1"/>
    <col min="10755" max="10755" width="15.7109375" style="82" customWidth="1"/>
    <col min="10756" max="11008" width="9.140625" style="82"/>
    <col min="11009" max="11009" width="11.7109375" style="82" customWidth="1"/>
    <col min="11010" max="11010" width="58.85546875" style="82" customWidth="1"/>
    <col min="11011" max="11011" width="15.7109375" style="82" customWidth="1"/>
    <col min="11012" max="11264" width="9.140625" style="82"/>
    <col min="11265" max="11265" width="11.7109375" style="82" customWidth="1"/>
    <col min="11266" max="11266" width="58.85546875" style="82" customWidth="1"/>
    <col min="11267" max="11267" width="15.7109375" style="82" customWidth="1"/>
    <col min="11268" max="11520" width="9.140625" style="82"/>
    <col min="11521" max="11521" width="11.7109375" style="82" customWidth="1"/>
    <col min="11522" max="11522" width="58.85546875" style="82" customWidth="1"/>
    <col min="11523" max="11523" width="15.7109375" style="82" customWidth="1"/>
    <col min="11524" max="11776" width="9.140625" style="82"/>
    <col min="11777" max="11777" width="11.7109375" style="82" customWidth="1"/>
    <col min="11778" max="11778" width="58.85546875" style="82" customWidth="1"/>
    <col min="11779" max="11779" width="15.7109375" style="82" customWidth="1"/>
    <col min="11780" max="12032" width="9.140625" style="82"/>
    <col min="12033" max="12033" width="11.7109375" style="82" customWidth="1"/>
    <col min="12034" max="12034" width="58.85546875" style="82" customWidth="1"/>
    <col min="12035" max="12035" width="15.7109375" style="82" customWidth="1"/>
    <col min="12036" max="12288" width="9.140625" style="82"/>
    <col min="12289" max="12289" width="11.7109375" style="82" customWidth="1"/>
    <col min="12290" max="12290" width="58.85546875" style="82" customWidth="1"/>
    <col min="12291" max="12291" width="15.7109375" style="82" customWidth="1"/>
    <col min="12292" max="12544" width="9.140625" style="82"/>
    <col min="12545" max="12545" width="11.7109375" style="82" customWidth="1"/>
    <col min="12546" max="12546" width="58.85546875" style="82" customWidth="1"/>
    <col min="12547" max="12547" width="15.7109375" style="82" customWidth="1"/>
    <col min="12548" max="12800" width="9.140625" style="82"/>
    <col min="12801" max="12801" width="11.7109375" style="82" customWidth="1"/>
    <col min="12802" max="12802" width="58.85546875" style="82" customWidth="1"/>
    <col min="12803" max="12803" width="15.7109375" style="82" customWidth="1"/>
    <col min="12804" max="13056" width="9.140625" style="82"/>
    <col min="13057" max="13057" width="11.7109375" style="82" customWidth="1"/>
    <col min="13058" max="13058" width="58.85546875" style="82" customWidth="1"/>
    <col min="13059" max="13059" width="15.7109375" style="82" customWidth="1"/>
    <col min="13060" max="13312" width="9.140625" style="82"/>
    <col min="13313" max="13313" width="11.7109375" style="82" customWidth="1"/>
    <col min="13314" max="13314" width="58.85546875" style="82" customWidth="1"/>
    <col min="13315" max="13315" width="15.7109375" style="82" customWidth="1"/>
    <col min="13316" max="13568" width="9.140625" style="82"/>
    <col min="13569" max="13569" width="11.7109375" style="82" customWidth="1"/>
    <col min="13570" max="13570" width="58.85546875" style="82" customWidth="1"/>
    <col min="13571" max="13571" width="15.7109375" style="82" customWidth="1"/>
    <col min="13572" max="13824" width="9.140625" style="82"/>
    <col min="13825" max="13825" width="11.7109375" style="82" customWidth="1"/>
    <col min="13826" max="13826" width="58.85546875" style="82" customWidth="1"/>
    <col min="13827" max="13827" width="15.7109375" style="82" customWidth="1"/>
    <col min="13828" max="14080" width="9.140625" style="82"/>
    <col min="14081" max="14081" width="11.7109375" style="82" customWidth="1"/>
    <col min="14082" max="14082" width="58.85546875" style="82" customWidth="1"/>
    <col min="14083" max="14083" width="15.7109375" style="82" customWidth="1"/>
    <col min="14084" max="14336" width="9.140625" style="82"/>
    <col min="14337" max="14337" width="11.7109375" style="82" customWidth="1"/>
    <col min="14338" max="14338" width="58.85546875" style="82" customWidth="1"/>
    <col min="14339" max="14339" width="15.7109375" style="82" customWidth="1"/>
    <col min="14340" max="14592" width="9.140625" style="82"/>
    <col min="14593" max="14593" width="11.7109375" style="82" customWidth="1"/>
    <col min="14594" max="14594" width="58.85546875" style="82" customWidth="1"/>
    <col min="14595" max="14595" width="15.7109375" style="82" customWidth="1"/>
    <col min="14596" max="14848" width="9.140625" style="82"/>
    <col min="14849" max="14849" width="11.7109375" style="82" customWidth="1"/>
    <col min="14850" max="14850" width="58.85546875" style="82" customWidth="1"/>
    <col min="14851" max="14851" width="15.7109375" style="82" customWidth="1"/>
    <col min="14852" max="15104" width="9.140625" style="82"/>
    <col min="15105" max="15105" width="11.7109375" style="82" customWidth="1"/>
    <col min="15106" max="15106" width="58.85546875" style="82" customWidth="1"/>
    <col min="15107" max="15107" width="15.7109375" style="82" customWidth="1"/>
    <col min="15108" max="15360" width="9.140625" style="82"/>
    <col min="15361" max="15361" width="11.7109375" style="82" customWidth="1"/>
    <col min="15362" max="15362" width="58.85546875" style="82" customWidth="1"/>
    <col min="15363" max="15363" width="15.7109375" style="82" customWidth="1"/>
    <col min="15364" max="15616" width="9.140625" style="82"/>
    <col min="15617" max="15617" width="11.7109375" style="82" customWidth="1"/>
    <col min="15618" max="15618" width="58.85546875" style="82" customWidth="1"/>
    <col min="15619" max="15619" width="15.7109375" style="82" customWidth="1"/>
    <col min="15620" max="15872" width="9.140625" style="82"/>
    <col min="15873" max="15873" width="11.7109375" style="82" customWidth="1"/>
    <col min="15874" max="15874" width="58.85546875" style="82" customWidth="1"/>
    <col min="15875" max="15875" width="15.7109375" style="82" customWidth="1"/>
    <col min="15876" max="16128" width="9.140625" style="82"/>
    <col min="16129" max="16129" width="11.7109375" style="82" customWidth="1"/>
    <col min="16130" max="16130" width="58.85546875" style="82" customWidth="1"/>
    <col min="16131" max="16131" width="15.7109375" style="82" customWidth="1"/>
    <col min="16132" max="16384" width="9.140625" style="82"/>
  </cols>
  <sheetData>
    <row r="1" spans="1:9" ht="20.25" customHeight="1">
      <c r="A1" s="80" t="s">
        <v>83</v>
      </c>
      <c r="B1" s="81"/>
      <c r="C1" s="81"/>
    </row>
    <row r="2" spans="1:9" s="108" customFormat="1" ht="13.5" customHeight="1">
      <c r="A2" s="205" t="s">
        <v>104</v>
      </c>
      <c r="B2" s="206"/>
      <c r="C2" s="206"/>
      <c r="D2" s="206"/>
      <c r="E2" s="206"/>
      <c r="F2" s="206"/>
      <c r="G2" s="206"/>
      <c r="H2" s="206"/>
      <c r="I2" s="206"/>
    </row>
    <row r="3" spans="1:9" customFormat="1" ht="13.5" customHeight="1">
      <c r="A3" s="3" t="s">
        <v>179</v>
      </c>
      <c r="B3" s="4"/>
      <c r="C3" s="4"/>
      <c r="D3" s="4"/>
      <c r="E3" s="4"/>
      <c r="F3" s="1"/>
      <c r="G3" s="1"/>
      <c r="H3" s="12"/>
      <c r="I3" s="12"/>
    </row>
    <row r="4" spans="1:9" customFormat="1" ht="13.5" customHeight="1">
      <c r="A4" s="4" t="s">
        <v>33</v>
      </c>
      <c r="B4" s="4"/>
      <c r="C4" s="4"/>
      <c r="D4" s="4"/>
      <c r="E4" s="4"/>
      <c r="F4" s="1"/>
      <c r="G4" s="1"/>
      <c r="H4" s="12"/>
      <c r="I4" s="12"/>
    </row>
    <row r="5" spans="1:9" ht="13.5" customHeight="1">
      <c r="A5" s="81"/>
      <c r="B5" s="81"/>
      <c r="C5" s="81"/>
    </row>
    <row r="6" spans="1:9" ht="23.25" customHeight="1">
      <c r="A6" s="83" t="s">
        <v>84</v>
      </c>
      <c r="B6" s="84" t="s">
        <v>3</v>
      </c>
      <c r="C6" s="85" t="s">
        <v>85</v>
      </c>
    </row>
    <row r="7" spans="1:9" ht="12.6" customHeight="1">
      <c r="A7" s="86">
        <v>1</v>
      </c>
      <c r="B7" s="87">
        <v>2</v>
      </c>
      <c r="C7" s="88">
        <v>3</v>
      </c>
    </row>
    <row r="8" spans="1:9" ht="21" customHeight="1">
      <c r="A8" s="89"/>
      <c r="B8" s="90"/>
      <c r="C8" s="90"/>
    </row>
    <row r="9" spans="1:9" ht="13.5" customHeight="1">
      <c r="A9" s="91" t="s">
        <v>16</v>
      </c>
      <c r="B9" s="92" t="s">
        <v>17</v>
      </c>
      <c r="C9" s="93">
        <f>SUM(C10:C16)</f>
        <v>0</v>
      </c>
    </row>
    <row r="10" spans="1:9" ht="13.5" customHeight="1">
      <c r="A10" s="94">
        <v>1</v>
      </c>
      <c r="B10" s="95" t="s">
        <v>38</v>
      </c>
      <c r="C10" s="96">
        <f>'D.1.1. ASR - NS'!H9</f>
        <v>0</v>
      </c>
    </row>
    <row r="11" spans="1:9" ht="13.5" customHeight="1">
      <c r="A11" s="94">
        <v>2</v>
      </c>
      <c r="B11" s="95" t="s">
        <v>34</v>
      </c>
      <c r="C11" s="97">
        <f>'D.1.1. ASR - NS'!H26</f>
        <v>0</v>
      </c>
    </row>
    <row r="12" spans="1:9" ht="13.5" customHeight="1">
      <c r="A12" s="94">
        <v>3</v>
      </c>
      <c r="B12" s="95" t="s">
        <v>45</v>
      </c>
      <c r="C12" s="96">
        <f>'D.1.1. ASR - NS'!H73</f>
        <v>0</v>
      </c>
    </row>
    <row r="13" spans="1:9" ht="13.5" customHeight="1">
      <c r="A13" s="94">
        <v>4</v>
      </c>
      <c r="B13" s="95" t="s">
        <v>36</v>
      </c>
      <c r="C13" s="97">
        <f>'D.1.1. ASR - NS'!H140</f>
        <v>0</v>
      </c>
    </row>
    <row r="14" spans="1:9" ht="13.5" customHeight="1">
      <c r="A14" s="94">
        <v>6</v>
      </c>
      <c r="B14" s="95" t="s">
        <v>79</v>
      </c>
      <c r="C14" s="96">
        <f>'D.1.1. ASR - NS'!H217</f>
        <v>0</v>
      </c>
    </row>
    <row r="15" spans="1:9" ht="13.5" customHeight="1">
      <c r="A15" s="94">
        <v>9</v>
      </c>
      <c r="B15" s="95" t="s">
        <v>62</v>
      </c>
      <c r="C15" s="96">
        <f>'D.1.1. ASR - NS'!H284</f>
        <v>0</v>
      </c>
    </row>
    <row r="16" spans="1:9" ht="13.5" customHeight="1">
      <c r="A16" s="98">
        <v>99</v>
      </c>
      <c r="B16" s="99" t="s">
        <v>23</v>
      </c>
      <c r="C16" s="100">
        <f>'D.1.1. ASR - NS'!H357</f>
        <v>0</v>
      </c>
    </row>
    <row r="17" spans="1:3" ht="13.5" customHeight="1">
      <c r="A17" s="91" t="s">
        <v>39</v>
      </c>
      <c r="B17" s="92" t="s">
        <v>40</v>
      </c>
      <c r="C17" s="93">
        <f>SUM(C18:C32)</f>
        <v>0</v>
      </c>
    </row>
    <row r="18" spans="1:3" ht="13.5" customHeight="1">
      <c r="A18" s="94">
        <v>711</v>
      </c>
      <c r="B18" s="95" t="s">
        <v>41</v>
      </c>
      <c r="C18" s="96">
        <f>'D.1.1. ASR - NS'!H363</f>
        <v>0</v>
      </c>
    </row>
    <row r="19" spans="1:3" ht="13.5" customHeight="1">
      <c r="A19" s="94">
        <v>713</v>
      </c>
      <c r="B19" s="95" t="s">
        <v>44</v>
      </c>
      <c r="C19" s="97">
        <f>'D.1.1. ASR - NS'!H393</f>
        <v>0</v>
      </c>
    </row>
    <row r="20" spans="1:3" ht="13.5" customHeight="1">
      <c r="A20" s="94">
        <v>762</v>
      </c>
      <c r="B20" s="95" t="s">
        <v>89</v>
      </c>
      <c r="C20" s="97">
        <f>'D.1.1. ASR - NS'!H402</f>
        <v>0</v>
      </c>
    </row>
    <row r="21" spans="1:3" ht="13.5" customHeight="1">
      <c r="A21" s="94">
        <v>763</v>
      </c>
      <c r="B21" s="95" t="s">
        <v>86</v>
      </c>
      <c r="C21" s="96">
        <f>'D.1.1. ASR - NS'!H415</f>
        <v>0</v>
      </c>
    </row>
    <row r="22" spans="1:3" ht="13.5" customHeight="1">
      <c r="A22" s="94">
        <v>765</v>
      </c>
      <c r="B22" s="95" t="s">
        <v>94</v>
      </c>
      <c r="C22" s="96">
        <f>'D.1.1. ASR - NS'!H531</f>
        <v>0</v>
      </c>
    </row>
    <row r="23" spans="1:3" ht="13.5" customHeight="1">
      <c r="A23" s="94">
        <v>767</v>
      </c>
      <c r="B23" s="95" t="s">
        <v>111</v>
      </c>
      <c r="C23" s="96">
        <f>'D.1.1. ASR - NS'!H551</f>
        <v>0</v>
      </c>
    </row>
    <row r="24" spans="1:3" ht="13.5" customHeight="1">
      <c r="A24" s="94">
        <v>771</v>
      </c>
      <c r="B24" s="95" t="s">
        <v>68</v>
      </c>
      <c r="C24" s="96">
        <f>'D.1.1. ASR - NS'!H581</f>
        <v>0</v>
      </c>
    </row>
    <row r="25" spans="1:3" ht="13.5" customHeight="1">
      <c r="A25" s="94">
        <v>772</v>
      </c>
      <c r="B25" s="95" t="s">
        <v>489</v>
      </c>
      <c r="C25" s="96">
        <f>'D.1.1. ASR - NS'!H657</f>
        <v>0</v>
      </c>
    </row>
    <row r="26" spans="1:3" ht="13.5" customHeight="1">
      <c r="A26" s="94">
        <v>775</v>
      </c>
      <c r="B26" s="95" t="s">
        <v>134</v>
      </c>
      <c r="C26" s="96">
        <f>'D.1.1. ASR - NS'!H668</f>
        <v>0</v>
      </c>
    </row>
    <row r="27" spans="1:3" ht="13.5" customHeight="1">
      <c r="A27" s="94">
        <v>776</v>
      </c>
      <c r="B27" s="95" t="s">
        <v>65</v>
      </c>
      <c r="C27" s="96">
        <f>'D.1.1. ASR - NS'!H683</f>
        <v>0</v>
      </c>
    </row>
    <row r="28" spans="1:3" ht="13.5" customHeight="1">
      <c r="A28" s="94">
        <v>777</v>
      </c>
      <c r="B28" s="95" t="s">
        <v>304</v>
      </c>
      <c r="C28" s="96">
        <f>'D.1.1. ASR - NS'!H727</f>
        <v>0</v>
      </c>
    </row>
    <row r="29" spans="1:3" ht="13.5" customHeight="1">
      <c r="A29" s="94">
        <v>781</v>
      </c>
      <c r="B29" s="95" t="s">
        <v>82</v>
      </c>
      <c r="C29" s="96">
        <f>'D.1.1. ASR - NS'!H781</f>
        <v>0</v>
      </c>
    </row>
    <row r="30" spans="1:3" ht="13.5" customHeight="1">
      <c r="A30" s="94">
        <v>783</v>
      </c>
      <c r="B30" s="95" t="s">
        <v>127</v>
      </c>
      <c r="C30" s="96">
        <f>'D.1.1. ASR - NS'!H796</f>
        <v>0</v>
      </c>
    </row>
    <row r="31" spans="1:3" ht="13.5" customHeight="1">
      <c r="A31" s="94">
        <v>784</v>
      </c>
      <c r="B31" s="95" t="s">
        <v>87</v>
      </c>
      <c r="C31" s="96">
        <f>'D.1.1. ASR - NS'!H824</f>
        <v>0</v>
      </c>
    </row>
    <row r="32" spans="1:3" ht="13.5" customHeight="1">
      <c r="A32" s="94">
        <v>790</v>
      </c>
      <c r="B32" s="95" t="s">
        <v>88</v>
      </c>
      <c r="C32" s="96">
        <f>'D.1.1. ASR - NS'!H873</f>
        <v>0</v>
      </c>
    </row>
    <row r="33" spans="1:3" ht="13.5" customHeight="1">
      <c r="A33" s="91" t="s">
        <v>100</v>
      </c>
      <c r="B33" s="92" t="s">
        <v>101</v>
      </c>
      <c r="C33" s="93">
        <f>SUM(C34:C35)</f>
        <v>0</v>
      </c>
    </row>
    <row r="34" spans="1:3" ht="13.5" customHeight="1">
      <c r="A34" s="94" t="s">
        <v>293</v>
      </c>
      <c r="B34" s="95" t="s">
        <v>294</v>
      </c>
      <c r="C34" s="96">
        <f>'D.1.1. ASR - NS'!H884</f>
        <v>0</v>
      </c>
    </row>
    <row r="35" spans="1:3" ht="13.5" customHeight="1">
      <c r="A35" s="94" t="s">
        <v>98</v>
      </c>
      <c r="B35" s="95" t="s">
        <v>99</v>
      </c>
      <c r="C35" s="96">
        <f>'D.1.1. ASR - NS'!H900</f>
        <v>0</v>
      </c>
    </row>
    <row r="36" spans="1:3" ht="21" customHeight="1">
      <c r="A36" s="101"/>
      <c r="B36" s="102" t="s">
        <v>181</v>
      </c>
      <c r="C36" s="103">
        <f>C17+C9+C33</f>
        <v>0</v>
      </c>
    </row>
    <row r="37" spans="1:3" ht="13.5" customHeight="1">
      <c r="A37" s="104"/>
      <c r="C37" s="105"/>
    </row>
  </sheetData>
  <mergeCells count="1">
    <mergeCell ref="A2:I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9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33"/>
  <sheetViews>
    <sheetView zoomScaleNormal="100" workbookViewId="0">
      <selection activeCell="J5" sqref="J5"/>
    </sheetView>
  </sheetViews>
  <sheetFormatPr defaultRowHeight="15"/>
  <cols>
    <col min="1" max="2" width="4.7109375" customWidth="1"/>
    <col min="3" max="3" width="13.140625" customWidth="1"/>
    <col min="4" max="4" width="64.7109375" customWidth="1"/>
    <col min="5" max="5" width="6.5703125" customWidth="1"/>
    <col min="6" max="6" width="9.140625" customWidth="1"/>
    <col min="7" max="7" width="11" style="39" customWidth="1"/>
    <col min="8" max="8" width="16.140625" customWidth="1"/>
    <col min="9" max="9" width="16.5703125" customWidth="1"/>
    <col min="11" max="11" width="13.140625" customWidth="1"/>
  </cols>
  <sheetData>
    <row r="1" spans="1:25" s="2" customFormat="1" ht="20.25" customHeight="1">
      <c r="A1" s="47" t="s">
        <v>1015</v>
      </c>
      <c r="B1" s="48"/>
      <c r="C1" s="48"/>
      <c r="D1" s="48"/>
      <c r="E1" s="48"/>
      <c r="F1" s="48"/>
      <c r="G1" s="48"/>
      <c r="H1" s="48"/>
      <c r="I1" s="46"/>
    </row>
    <row r="2" spans="1:25" s="108" customFormat="1" ht="13.5" customHeight="1">
      <c r="A2" s="205" t="s">
        <v>104</v>
      </c>
      <c r="B2" s="206"/>
      <c r="C2" s="206"/>
      <c r="D2" s="206"/>
      <c r="E2" s="206"/>
      <c r="F2" s="206"/>
      <c r="G2" s="206"/>
      <c r="H2" s="206"/>
      <c r="I2" s="206"/>
    </row>
    <row r="3" spans="1:25" ht="13.5" customHeight="1">
      <c r="A3" s="3" t="s">
        <v>179</v>
      </c>
      <c r="B3" s="4"/>
      <c r="C3" s="4"/>
      <c r="D3" s="4"/>
      <c r="E3" s="4"/>
      <c r="F3" s="1"/>
      <c r="G3" s="1"/>
      <c r="H3" s="12"/>
      <c r="I3" s="12"/>
    </row>
    <row r="4" spans="1:25" ht="13.5" customHeight="1">
      <c r="A4" s="4" t="s">
        <v>159</v>
      </c>
      <c r="B4" s="4"/>
      <c r="C4" s="4"/>
      <c r="D4" s="4"/>
      <c r="E4" s="4"/>
      <c r="F4" s="1"/>
      <c r="G4" s="1"/>
      <c r="H4" s="12"/>
      <c r="I4" s="12"/>
    </row>
    <row r="5" spans="1:25" s="2" customFormat="1" ht="12.75" customHeight="1">
      <c r="A5" s="49"/>
      <c r="B5" s="49"/>
      <c r="C5" s="49"/>
      <c r="D5" s="49"/>
      <c r="E5" s="49"/>
      <c r="F5" s="49"/>
      <c r="G5" s="48"/>
      <c r="H5" s="48"/>
      <c r="I5" s="46"/>
    </row>
    <row r="6" spans="1:25" s="2" customFormat="1" ht="24.75" customHeight="1">
      <c r="A6" s="50" t="s">
        <v>0</v>
      </c>
      <c r="B6" s="50" t="s">
        <v>1</v>
      </c>
      <c r="C6" s="50" t="s">
        <v>2</v>
      </c>
      <c r="D6" s="50" t="s">
        <v>3</v>
      </c>
      <c r="E6" s="50" t="s">
        <v>4</v>
      </c>
      <c r="F6" s="50" t="s">
        <v>5</v>
      </c>
      <c r="G6" s="50" t="s">
        <v>6</v>
      </c>
      <c r="H6" s="50" t="s">
        <v>7</v>
      </c>
      <c r="I6" s="50" t="s">
        <v>8</v>
      </c>
    </row>
    <row r="7" spans="1:25" s="2" customFormat="1" ht="12.75" customHeight="1">
      <c r="A7" s="50" t="s">
        <v>9</v>
      </c>
      <c r="B7" s="50" t="s">
        <v>10</v>
      </c>
      <c r="C7" s="50" t="s">
        <v>11</v>
      </c>
      <c r="D7" s="50" t="s">
        <v>12</v>
      </c>
      <c r="E7" s="50" t="s">
        <v>13</v>
      </c>
      <c r="F7" s="50" t="s">
        <v>14</v>
      </c>
      <c r="G7" s="50" t="s">
        <v>15</v>
      </c>
      <c r="H7" s="50">
        <v>8</v>
      </c>
      <c r="I7" s="50">
        <v>9</v>
      </c>
    </row>
    <row r="8" spans="1:25" s="2" customFormat="1" ht="21" customHeight="1">
      <c r="A8" s="51"/>
      <c r="B8" s="52"/>
      <c r="C8" s="52" t="s">
        <v>16</v>
      </c>
      <c r="D8" s="52" t="s">
        <v>17</v>
      </c>
      <c r="E8" s="52"/>
      <c r="F8" s="53"/>
      <c r="G8" s="54"/>
      <c r="H8" s="54">
        <f>H9+H26+H73+H140+H217+H284+H357</f>
        <v>0</v>
      </c>
      <c r="I8" s="46"/>
    </row>
    <row r="9" spans="1:25" s="2" customFormat="1" ht="13.5" customHeight="1">
      <c r="A9" s="5"/>
      <c r="B9" s="6"/>
      <c r="C9" s="6">
        <v>1</v>
      </c>
      <c r="D9" s="6" t="s">
        <v>38</v>
      </c>
      <c r="E9" s="6"/>
      <c r="F9" s="7"/>
      <c r="G9" s="8"/>
      <c r="H9" s="8">
        <f>SUM(H10:H25)</f>
        <v>0</v>
      </c>
      <c r="I9" s="11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s="2" customFormat="1" ht="13.5" customHeight="1">
      <c r="A10" s="152">
        <v>1</v>
      </c>
      <c r="B10" s="153" t="s">
        <v>370</v>
      </c>
      <c r="C10" s="153">
        <v>115101201</v>
      </c>
      <c r="D10" s="153" t="s">
        <v>371</v>
      </c>
      <c r="E10" s="153" t="s">
        <v>28</v>
      </c>
      <c r="F10" s="154">
        <v>40</v>
      </c>
      <c r="G10" s="155"/>
      <c r="H10" s="156">
        <f>F10*G10</f>
        <v>0</v>
      </c>
      <c r="I10" s="42" t="s">
        <v>105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s="2" customFormat="1" ht="13.5" customHeight="1">
      <c r="A11" s="152">
        <v>2</v>
      </c>
      <c r="B11" s="153" t="s">
        <v>370</v>
      </c>
      <c r="C11" s="153">
        <v>115101301</v>
      </c>
      <c r="D11" s="153" t="s">
        <v>372</v>
      </c>
      <c r="E11" s="153" t="s">
        <v>373</v>
      </c>
      <c r="F11" s="154">
        <v>5</v>
      </c>
      <c r="G11" s="155"/>
      <c r="H11" s="156">
        <f>F11*G11</f>
        <v>0</v>
      </c>
      <c r="I11" s="42" t="s">
        <v>105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s="2" customFormat="1" ht="13.5" customHeight="1">
      <c r="A12" s="152">
        <v>3</v>
      </c>
      <c r="B12" s="153" t="s">
        <v>370</v>
      </c>
      <c r="C12" s="130">
        <v>119001401</v>
      </c>
      <c r="D12" s="130" t="s">
        <v>374</v>
      </c>
      <c r="E12" s="153" t="s">
        <v>55</v>
      </c>
      <c r="F12" s="157">
        <v>15</v>
      </c>
      <c r="G12" s="155"/>
      <c r="H12" s="156">
        <f>F12*G12</f>
        <v>0</v>
      </c>
      <c r="I12" s="42" t="s">
        <v>105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s="2" customFormat="1" ht="13.5" customHeight="1">
      <c r="A13" s="152">
        <v>4</v>
      </c>
      <c r="B13" s="153" t="s">
        <v>370</v>
      </c>
      <c r="C13" s="153" t="s">
        <v>375</v>
      </c>
      <c r="D13" s="153" t="s">
        <v>376</v>
      </c>
      <c r="E13" s="153" t="s">
        <v>55</v>
      </c>
      <c r="F13" s="157">
        <v>8</v>
      </c>
      <c r="G13" s="155"/>
      <c r="H13" s="156">
        <f>F13*G13</f>
        <v>0</v>
      </c>
      <c r="I13" s="42" t="s">
        <v>105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3.5" customHeight="1">
      <c r="A14" s="158">
        <v>5</v>
      </c>
      <c r="B14" s="130" t="s">
        <v>370</v>
      </c>
      <c r="C14" s="130">
        <v>131201101</v>
      </c>
      <c r="D14" s="130" t="s">
        <v>377</v>
      </c>
      <c r="E14" s="130" t="s">
        <v>27</v>
      </c>
      <c r="F14" s="159">
        <f>SUM(F15:F15)</f>
        <v>27.75</v>
      </c>
      <c r="G14" s="155"/>
      <c r="H14" s="155">
        <f>F14*G14</f>
        <v>0</v>
      </c>
      <c r="I14" s="42" t="s">
        <v>105</v>
      </c>
    </row>
    <row r="15" spans="1:25" ht="13.5" customHeight="1">
      <c r="A15" s="158"/>
      <c r="B15" s="130"/>
      <c r="C15" s="43"/>
      <c r="D15" s="43" t="s">
        <v>380</v>
      </c>
      <c r="E15" s="43"/>
      <c r="F15" s="44">
        <f xml:space="preserve"> 3.7*(4.1+3.2+0.6+7.1)*0.5</f>
        <v>27.75</v>
      </c>
      <c r="G15" s="160"/>
      <c r="H15" s="160"/>
      <c r="I15" s="42"/>
    </row>
    <row r="16" spans="1:25" ht="13.5" customHeight="1">
      <c r="A16" s="158">
        <v>6</v>
      </c>
      <c r="B16" s="130" t="s">
        <v>370</v>
      </c>
      <c r="C16" s="130">
        <v>131201109</v>
      </c>
      <c r="D16" s="130" t="s">
        <v>378</v>
      </c>
      <c r="E16" s="130" t="s">
        <v>27</v>
      </c>
      <c r="F16" s="159">
        <f>SUM(F17)</f>
        <v>13.875</v>
      </c>
      <c r="G16" s="155"/>
      <c r="H16" s="155">
        <f>F16*G16</f>
        <v>0</v>
      </c>
      <c r="I16" s="42" t="s">
        <v>105</v>
      </c>
    </row>
    <row r="17" spans="1:12" ht="13.5" customHeight="1">
      <c r="A17" s="158"/>
      <c r="B17" s="130"/>
      <c r="C17" s="43"/>
      <c r="D17" s="43" t="s">
        <v>381</v>
      </c>
      <c r="E17" s="43"/>
      <c r="F17" s="44">
        <f xml:space="preserve"> 27.75*0.5</f>
        <v>13.875</v>
      </c>
      <c r="G17" s="160"/>
      <c r="H17" s="160"/>
      <c r="I17" s="42"/>
    </row>
    <row r="18" spans="1:12" ht="13.5" customHeight="1">
      <c r="A18" s="158">
        <v>7</v>
      </c>
      <c r="B18" s="130" t="s">
        <v>370</v>
      </c>
      <c r="C18" s="130">
        <v>131301101</v>
      </c>
      <c r="D18" s="130" t="s">
        <v>379</v>
      </c>
      <c r="E18" s="130" t="s">
        <v>27</v>
      </c>
      <c r="F18" s="159">
        <f>SUM(F19:F19)</f>
        <v>27.75</v>
      </c>
      <c r="G18" s="155"/>
      <c r="H18" s="155">
        <f>F18*G18</f>
        <v>0</v>
      </c>
      <c r="I18" s="42" t="s">
        <v>105</v>
      </c>
    </row>
    <row r="19" spans="1:12" ht="13.5" customHeight="1">
      <c r="A19" s="158"/>
      <c r="B19" s="130"/>
      <c r="C19" s="43"/>
      <c r="D19" s="43" t="s">
        <v>380</v>
      </c>
      <c r="E19" s="43"/>
      <c r="F19" s="44">
        <f xml:space="preserve"> 3.7*(4.1+3.2+0.6+7.1)*0.5</f>
        <v>27.75</v>
      </c>
      <c r="G19" s="160"/>
      <c r="H19" s="160"/>
      <c r="I19" s="42"/>
    </row>
    <row r="20" spans="1:12" ht="13.5" customHeight="1">
      <c r="A20" s="158">
        <v>8</v>
      </c>
      <c r="B20" s="130" t="s">
        <v>370</v>
      </c>
      <c r="C20" s="130">
        <v>131301109</v>
      </c>
      <c r="D20" s="130" t="s">
        <v>382</v>
      </c>
      <c r="E20" s="130" t="s">
        <v>27</v>
      </c>
      <c r="F20" s="159">
        <f>SUM(F21)</f>
        <v>13.875</v>
      </c>
      <c r="G20" s="155"/>
      <c r="H20" s="155">
        <f>F20*G20</f>
        <v>0</v>
      </c>
      <c r="I20" s="42" t="s">
        <v>105</v>
      </c>
    </row>
    <row r="21" spans="1:12" ht="13.5" customHeight="1">
      <c r="A21" s="158"/>
      <c r="B21" s="130"/>
      <c r="C21" s="43"/>
      <c r="D21" s="43" t="s">
        <v>381</v>
      </c>
      <c r="E21" s="43"/>
      <c r="F21" s="44">
        <f xml:space="preserve"> 27.75*0.5</f>
        <v>13.875</v>
      </c>
      <c r="G21" s="160"/>
      <c r="H21" s="160"/>
      <c r="I21" s="42"/>
    </row>
    <row r="22" spans="1:12" ht="13.5" customHeight="1">
      <c r="A22" s="158">
        <v>9</v>
      </c>
      <c r="B22" s="130" t="s">
        <v>370</v>
      </c>
      <c r="C22" s="130">
        <v>161101101</v>
      </c>
      <c r="D22" s="130" t="s">
        <v>383</v>
      </c>
      <c r="E22" s="130" t="s">
        <v>27</v>
      </c>
      <c r="F22" s="159">
        <f>SUM(F23)</f>
        <v>55.5</v>
      </c>
      <c r="G22" s="155"/>
      <c r="H22" s="155">
        <f>F22*G22</f>
        <v>0</v>
      </c>
      <c r="I22" s="42" t="s">
        <v>105</v>
      </c>
    </row>
    <row r="23" spans="1:12" ht="13.5" customHeight="1">
      <c r="A23" s="158"/>
      <c r="B23" s="130"/>
      <c r="C23" s="43"/>
      <c r="D23" s="43" t="s">
        <v>384</v>
      </c>
      <c r="E23" s="43"/>
      <c r="F23" s="44">
        <f>27.75+27.75</f>
        <v>55.5</v>
      </c>
      <c r="G23" s="160"/>
      <c r="H23" s="160"/>
      <c r="I23" s="42"/>
    </row>
    <row r="24" spans="1:12" ht="13.5" customHeight="1">
      <c r="A24" s="158">
        <v>10</v>
      </c>
      <c r="B24" s="130" t="s">
        <v>370</v>
      </c>
      <c r="C24" s="130">
        <v>174101101</v>
      </c>
      <c r="D24" s="130" t="s">
        <v>385</v>
      </c>
      <c r="E24" s="130" t="s">
        <v>27</v>
      </c>
      <c r="F24" s="159">
        <f>F25</f>
        <v>55.5</v>
      </c>
      <c r="G24" s="155"/>
      <c r="H24" s="155">
        <f>F24*G24</f>
        <v>0</v>
      </c>
      <c r="I24" s="42" t="s">
        <v>105</v>
      </c>
    </row>
    <row r="25" spans="1:12" ht="13.5" customHeight="1">
      <c r="A25" s="158"/>
      <c r="B25" s="130"/>
      <c r="C25" s="43"/>
      <c r="D25" s="43" t="s">
        <v>386</v>
      </c>
      <c r="E25" s="43"/>
      <c r="F25" s="44">
        <f>3.7*(4.1+3.2+0.6+7.1)</f>
        <v>55.5</v>
      </c>
      <c r="G25" s="160"/>
      <c r="H25" s="160"/>
      <c r="I25" s="42"/>
    </row>
    <row r="26" spans="1:12" s="2" customFormat="1" ht="13.5" customHeight="1">
      <c r="A26" s="5"/>
      <c r="B26" s="6"/>
      <c r="C26" s="6">
        <v>2</v>
      </c>
      <c r="D26" s="6" t="s">
        <v>34</v>
      </c>
      <c r="E26" s="6"/>
      <c r="F26" s="7"/>
      <c r="G26" s="8"/>
      <c r="H26" s="8">
        <f>SUM(H27:H59)+H64</f>
        <v>0</v>
      </c>
      <c r="I26" s="11"/>
    </row>
    <row r="27" spans="1:12" s="2" customFormat="1" ht="13.5" customHeight="1">
      <c r="A27" s="158">
        <v>11</v>
      </c>
      <c r="B27" s="130">
        <v>215</v>
      </c>
      <c r="C27" s="130">
        <v>215901101</v>
      </c>
      <c r="D27" s="130" t="s">
        <v>224</v>
      </c>
      <c r="E27" s="130" t="s">
        <v>21</v>
      </c>
      <c r="F27" s="159">
        <f>F28+F29+F30</f>
        <v>165.63749999999999</v>
      </c>
      <c r="G27" s="155"/>
      <c r="H27" s="155">
        <f>F27*G27</f>
        <v>0</v>
      </c>
      <c r="I27" s="42" t="s">
        <v>105</v>
      </c>
      <c r="J27" s="12"/>
      <c r="K27" s="12"/>
      <c r="L27" s="12"/>
    </row>
    <row r="28" spans="1:12" s="126" customFormat="1" ht="13.5" customHeight="1">
      <c r="A28" s="161"/>
      <c r="B28" s="43"/>
      <c r="C28" s="43"/>
      <c r="D28" s="43" t="s">
        <v>364</v>
      </c>
      <c r="E28" s="43"/>
      <c r="F28" s="44">
        <f>1.85*2.45+3.65*3.1+5.5*0.5</f>
        <v>18.5975</v>
      </c>
      <c r="G28" s="160"/>
      <c r="H28" s="160"/>
      <c r="I28" s="162"/>
      <c r="J28" s="125"/>
      <c r="K28" s="125"/>
      <c r="L28" s="125"/>
    </row>
    <row r="29" spans="1:12" s="126" customFormat="1" ht="13.5" customHeight="1">
      <c r="A29" s="161"/>
      <c r="B29" s="43"/>
      <c r="C29" s="43"/>
      <c r="D29" s="43" t="s">
        <v>578</v>
      </c>
      <c r="E29" s="43"/>
      <c r="F29" s="44">
        <f>113.9*1</f>
        <v>113.9</v>
      </c>
      <c r="G29" s="160"/>
      <c r="H29" s="160"/>
      <c r="I29" s="162"/>
      <c r="J29" s="125"/>
      <c r="K29" s="125"/>
      <c r="L29" s="125"/>
    </row>
    <row r="30" spans="1:12" s="126" customFormat="1" ht="13.5" customHeight="1">
      <c r="A30" s="161"/>
      <c r="B30" s="43"/>
      <c r="C30" s="43"/>
      <c r="D30" s="43" t="s">
        <v>387</v>
      </c>
      <c r="E30" s="43"/>
      <c r="F30" s="44">
        <f>(4.1+3.2+0.6+5.1)*1.5+3.1*4.4</f>
        <v>33.14</v>
      </c>
      <c r="G30" s="160"/>
      <c r="H30" s="160"/>
      <c r="I30" s="162"/>
      <c r="J30" s="125"/>
      <c r="K30" s="125"/>
      <c r="L30" s="125"/>
    </row>
    <row r="31" spans="1:12" s="12" customFormat="1" ht="13.5" customHeight="1">
      <c r="A31" s="158">
        <v>12</v>
      </c>
      <c r="B31" s="130">
        <v>273</v>
      </c>
      <c r="C31" s="130">
        <v>273321511</v>
      </c>
      <c r="D31" s="130" t="s">
        <v>794</v>
      </c>
      <c r="E31" s="130" t="s">
        <v>27</v>
      </c>
      <c r="F31" s="163">
        <f>SUM(F32:F32)</f>
        <v>8.3199375</v>
      </c>
      <c r="G31" s="155"/>
      <c r="H31" s="155">
        <f>F31*G31</f>
        <v>0</v>
      </c>
      <c r="I31" s="42" t="s">
        <v>105</v>
      </c>
    </row>
    <row r="32" spans="1:12" s="2" customFormat="1" ht="13.5" customHeight="1">
      <c r="A32" s="158"/>
      <c r="B32" s="130"/>
      <c r="C32" s="130"/>
      <c r="D32" s="43" t="s">
        <v>227</v>
      </c>
      <c r="E32" s="130"/>
      <c r="F32" s="44">
        <f xml:space="preserve"> (1.85*2.45+3.65*3.1)*0.5*1.05</f>
        <v>8.3199375</v>
      </c>
      <c r="G32" s="155"/>
      <c r="H32" s="155"/>
      <c r="I32" s="42"/>
      <c r="J32" s="12"/>
      <c r="K32" s="12"/>
      <c r="L32" s="12"/>
    </row>
    <row r="33" spans="1:12" s="2" customFormat="1" ht="23.25" customHeight="1">
      <c r="A33" s="164"/>
      <c r="B33" s="132"/>
      <c r="C33" s="132"/>
      <c r="D33" s="43" t="s">
        <v>225</v>
      </c>
      <c r="E33" s="132"/>
      <c r="F33" s="165"/>
      <c r="G33" s="166"/>
      <c r="H33" s="155"/>
      <c r="I33" s="42"/>
      <c r="J33" s="12"/>
      <c r="K33" s="12"/>
      <c r="L33" s="12"/>
    </row>
    <row r="34" spans="1:12" s="2" customFormat="1" ht="13.5" customHeight="1">
      <c r="A34" s="158">
        <v>13</v>
      </c>
      <c r="B34" s="130">
        <v>273</v>
      </c>
      <c r="C34" s="130">
        <v>273351121</v>
      </c>
      <c r="D34" s="130" t="s">
        <v>229</v>
      </c>
      <c r="E34" s="130" t="s">
        <v>21</v>
      </c>
      <c r="F34" s="159">
        <f>SUM(F35:F35)</f>
        <v>8.6000000000000014</v>
      </c>
      <c r="G34" s="155"/>
      <c r="H34" s="155">
        <f>F34*G34</f>
        <v>0</v>
      </c>
      <c r="I34" s="42" t="s">
        <v>105</v>
      </c>
      <c r="J34" s="12"/>
      <c r="K34" s="12"/>
      <c r="L34" s="12"/>
    </row>
    <row r="35" spans="1:12" s="126" customFormat="1" ht="13.5" customHeight="1">
      <c r="A35" s="161"/>
      <c r="B35" s="43"/>
      <c r="C35" s="43"/>
      <c r="D35" s="43" t="s">
        <v>228</v>
      </c>
      <c r="E35" s="43"/>
      <c r="F35" s="44">
        <f>(2.45+1.85+1.2+3.1+3.65+4.95)*0.5</f>
        <v>8.6000000000000014</v>
      </c>
      <c r="G35" s="160"/>
      <c r="H35" s="160"/>
      <c r="I35" s="162"/>
      <c r="J35" s="125"/>
      <c r="K35" s="125"/>
      <c r="L35" s="125"/>
    </row>
    <row r="36" spans="1:12" s="2" customFormat="1" ht="13.5" customHeight="1">
      <c r="A36" s="158">
        <v>14</v>
      </c>
      <c r="B36" s="130">
        <v>273</v>
      </c>
      <c r="C36" s="130">
        <v>273351122</v>
      </c>
      <c r="D36" s="130" t="s">
        <v>230</v>
      </c>
      <c r="E36" s="130" t="s">
        <v>21</v>
      </c>
      <c r="F36" s="159">
        <f>F34</f>
        <v>8.6000000000000014</v>
      </c>
      <c r="G36" s="155"/>
      <c r="H36" s="155">
        <f>F36*G36</f>
        <v>0</v>
      </c>
      <c r="I36" s="42" t="s">
        <v>105</v>
      </c>
      <c r="J36" s="12"/>
      <c r="K36" s="12"/>
      <c r="L36" s="12"/>
    </row>
    <row r="37" spans="1:12" s="2" customFormat="1" ht="13.5" customHeight="1">
      <c r="A37" s="158">
        <v>15</v>
      </c>
      <c r="B37" s="130">
        <v>273</v>
      </c>
      <c r="C37" s="130">
        <v>273361821</v>
      </c>
      <c r="D37" s="130" t="s">
        <v>226</v>
      </c>
      <c r="E37" s="130" t="s">
        <v>35</v>
      </c>
      <c r="F37" s="159">
        <f>F38+F73</f>
        <v>1.92</v>
      </c>
      <c r="G37" s="155"/>
      <c r="H37" s="155">
        <f>F37*G37</f>
        <v>0</v>
      </c>
      <c r="I37" s="42" t="s">
        <v>105</v>
      </c>
      <c r="J37" s="12"/>
      <c r="K37" s="12"/>
      <c r="L37" s="12"/>
    </row>
    <row r="38" spans="1:12" s="126" customFormat="1" ht="25.5" customHeight="1">
      <c r="A38" s="161"/>
      <c r="B38" s="43"/>
      <c r="C38" s="43"/>
      <c r="D38" s="43" t="s">
        <v>804</v>
      </c>
      <c r="E38" s="43"/>
      <c r="F38" s="44">
        <f>8*0.24</f>
        <v>1.92</v>
      </c>
      <c r="G38" s="160"/>
      <c r="H38" s="160"/>
      <c r="I38" s="162"/>
      <c r="J38" s="125"/>
      <c r="K38" s="125"/>
      <c r="L38" s="125"/>
    </row>
    <row r="39" spans="1:12" s="12" customFormat="1" ht="13.5" customHeight="1">
      <c r="A39" s="158">
        <v>16</v>
      </c>
      <c r="B39" s="130">
        <v>274</v>
      </c>
      <c r="C39" s="130">
        <v>274321511</v>
      </c>
      <c r="D39" s="130" t="s">
        <v>795</v>
      </c>
      <c r="E39" s="130" t="s">
        <v>27</v>
      </c>
      <c r="F39" s="163">
        <f>SUM(F40:F40)</f>
        <v>2.8875000000000002</v>
      </c>
      <c r="G39" s="155"/>
      <c r="H39" s="155">
        <f>F39*G39</f>
        <v>0</v>
      </c>
      <c r="I39" s="42" t="s">
        <v>105</v>
      </c>
    </row>
    <row r="40" spans="1:12" s="2" customFormat="1" ht="13.5" customHeight="1">
      <c r="A40" s="158"/>
      <c r="B40" s="130"/>
      <c r="C40" s="130"/>
      <c r="D40" s="43" t="s">
        <v>231</v>
      </c>
      <c r="E40" s="130"/>
      <c r="F40" s="44">
        <f>5.5*0.5*1*1.05</f>
        <v>2.8875000000000002</v>
      </c>
      <c r="G40" s="155"/>
      <c r="H40" s="155"/>
      <c r="I40" s="42"/>
      <c r="J40" s="12"/>
      <c r="K40" s="12"/>
      <c r="L40" s="12"/>
    </row>
    <row r="41" spans="1:12" s="2" customFormat="1" ht="23.25" customHeight="1">
      <c r="A41" s="164"/>
      <c r="B41" s="132"/>
      <c r="C41" s="132"/>
      <c r="D41" s="43" t="s">
        <v>225</v>
      </c>
      <c r="E41" s="132"/>
      <c r="F41" s="165"/>
      <c r="G41" s="166"/>
      <c r="H41" s="155"/>
      <c r="I41" s="42"/>
      <c r="J41" s="12"/>
      <c r="K41" s="12"/>
      <c r="L41" s="12"/>
    </row>
    <row r="42" spans="1:12" s="2" customFormat="1" ht="13.5" customHeight="1">
      <c r="A42" s="158">
        <v>17</v>
      </c>
      <c r="B42" s="130">
        <v>274</v>
      </c>
      <c r="C42" s="130">
        <v>274351121</v>
      </c>
      <c r="D42" s="130" t="s">
        <v>232</v>
      </c>
      <c r="E42" s="130" t="s">
        <v>21</v>
      </c>
      <c r="F42" s="159">
        <f>F43+F44</f>
        <v>24.299999999999997</v>
      </c>
      <c r="G42" s="155"/>
      <c r="H42" s="155">
        <f>F42*G42</f>
        <v>0</v>
      </c>
      <c r="I42" s="42" t="s">
        <v>105</v>
      </c>
      <c r="J42" s="12"/>
      <c r="K42" s="12"/>
      <c r="L42" s="12"/>
    </row>
    <row r="43" spans="1:12" s="126" customFormat="1" ht="13.5" customHeight="1">
      <c r="A43" s="161"/>
      <c r="B43" s="43"/>
      <c r="C43" s="43"/>
      <c r="D43" s="43" t="s">
        <v>235</v>
      </c>
      <c r="E43" s="43"/>
      <c r="F43" s="44">
        <f>5.5*1*2</f>
        <v>11</v>
      </c>
      <c r="G43" s="160"/>
      <c r="H43" s="160"/>
      <c r="I43" s="162"/>
      <c r="J43" s="125"/>
      <c r="K43" s="125"/>
      <c r="L43" s="125"/>
    </row>
    <row r="44" spans="1:12" s="126" customFormat="1" ht="13.5" customHeight="1">
      <c r="A44" s="161"/>
      <c r="B44" s="43"/>
      <c r="C44" s="43"/>
      <c r="D44" s="43" t="s">
        <v>247</v>
      </c>
      <c r="E44" s="43"/>
      <c r="F44" s="44">
        <f>(4.5+5)*1.4</f>
        <v>13.299999999999999</v>
      </c>
      <c r="G44" s="160"/>
      <c r="H44" s="160"/>
      <c r="I44" s="162"/>
      <c r="J44" s="125"/>
      <c r="K44" s="125"/>
      <c r="L44" s="125"/>
    </row>
    <row r="45" spans="1:12" s="2" customFormat="1" ht="13.5" customHeight="1">
      <c r="A45" s="158">
        <v>18</v>
      </c>
      <c r="B45" s="130">
        <v>274</v>
      </c>
      <c r="C45" s="130">
        <v>274351122</v>
      </c>
      <c r="D45" s="130" t="s">
        <v>233</v>
      </c>
      <c r="E45" s="130" t="s">
        <v>21</v>
      </c>
      <c r="F45" s="159">
        <f>F42</f>
        <v>24.299999999999997</v>
      </c>
      <c r="G45" s="155"/>
      <c r="H45" s="155">
        <f>F45*G45</f>
        <v>0</v>
      </c>
      <c r="I45" s="42" t="s">
        <v>105</v>
      </c>
      <c r="J45" s="12"/>
      <c r="K45" s="12"/>
      <c r="L45" s="12"/>
    </row>
    <row r="46" spans="1:12" s="2" customFormat="1" ht="13.5" customHeight="1">
      <c r="A46" s="158">
        <v>19</v>
      </c>
      <c r="B46" s="130">
        <v>274</v>
      </c>
      <c r="C46" s="130">
        <v>274361821</v>
      </c>
      <c r="D46" s="130" t="s">
        <v>234</v>
      </c>
      <c r="E46" s="130" t="s">
        <v>35</v>
      </c>
      <c r="F46" s="159">
        <f>F47</f>
        <v>0.22</v>
      </c>
      <c r="G46" s="155"/>
      <c r="H46" s="155">
        <f>F46*G46</f>
        <v>0</v>
      </c>
      <c r="I46" s="42" t="s">
        <v>105</v>
      </c>
      <c r="J46" s="12"/>
      <c r="K46" s="12"/>
      <c r="L46" s="12"/>
    </row>
    <row r="47" spans="1:12" s="126" customFormat="1" ht="25.5" customHeight="1">
      <c r="A47" s="161"/>
      <c r="B47" s="43"/>
      <c r="C47" s="43"/>
      <c r="D47" s="43" t="s">
        <v>805</v>
      </c>
      <c r="E47" s="43"/>
      <c r="F47" s="44">
        <f>2.75*0.08</f>
        <v>0.22</v>
      </c>
      <c r="G47" s="160"/>
      <c r="H47" s="160"/>
      <c r="I47" s="162"/>
      <c r="J47" s="125"/>
      <c r="K47" s="125"/>
      <c r="L47" s="125"/>
    </row>
    <row r="48" spans="1:12" s="12" customFormat="1" ht="13.5" customHeight="1">
      <c r="A48" s="158">
        <v>20</v>
      </c>
      <c r="B48" s="130">
        <v>279</v>
      </c>
      <c r="C48" s="130">
        <v>279311114</v>
      </c>
      <c r="D48" s="130" t="s">
        <v>248</v>
      </c>
      <c r="E48" s="130" t="s">
        <v>27</v>
      </c>
      <c r="F48" s="163">
        <f>SUM(F49:F49)</f>
        <v>13.965</v>
      </c>
      <c r="G48" s="155"/>
      <c r="H48" s="155">
        <f>F48*G48</f>
        <v>0</v>
      </c>
      <c r="I48" s="42" t="s">
        <v>105</v>
      </c>
    </row>
    <row r="49" spans="1:25" s="2" customFormat="1" ht="13.5" customHeight="1">
      <c r="A49" s="158"/>
      <c r="B49" s="130"/>
      <c r="C49" s="130"/>
      <c r="D49" s="43" t="s">
        <v>246</v>
      </c>
      <c r="E49" s="130"/>
      <c r="F49" s="44">
        <f>(4.5+5)*1*1.4*1.05</f>
        <v>13.965</v>
      </c>
      <c r="G49" s="155"/>
      <c r="H49" s="155"/>
      <c r="I49" s="42"/>
      <c r="J49" s="12"/>
      <c r="K49" s="12"/>
      <c r="L49" s="12"/>
    </row>
    <row r="50" spans="1:25" s="12" customFormat="1" ht="13.5" customHeight="1">
      <c r="A50" s="158">
        <v>21</v>
      </c>
      <c r="B50" s="130">
        <v>279</v>
      </c>
      <c r="C50" s="130">
        <v>279321347</v>
      </c>
      <c r="D50" s="130" t="s">
        <v>806</v>
      </c>
      <c r="E50" s="130" t="s">
        <v>27</v>
      </c>
      <c r="F50" s="163">
        <f>SUM(F51:F51)</f>
        <v>6.2475000000000005</v>
      </c>
      <c r="G50" s="155"/>
      <c r="H50" s="155">
        <f>F50*G50</f>
        <v>0</v>
      </c>
      <c r="I50" s="42" t="s">
        <v>105</v>
      </c>
    </row>
    <row r="51" spans="1:25" s="2" customFormat="1" ht="13.5" customHeight="1">
      <c r="A51" s="158"/>
      <c r="B51" s="130"/>
      <c r="C51" s="130"/>
      <c r="D51" s="43" t="s">
        <v>236</v>
      </c>
      <c r="E51" s="130"/>
      <c r="F51" s="44">
        <f>5.95*1.05</f>
        <v>6.2475000000000005</v>
      </c>
      <c r="G51" s="155"/>
      <c r="H51" s="155"/>
      <c r="I51" s="42"/>
      <c r="J51" s="12"/>
      <c r="K51" s="12"/>
      <c r="L51" s="12"/>
    </row>
    <row r="52" spans="1:25" s="2" customFormat="1" ht="23.25" customHeight="1">
      <c r="A52" s="164"/>
      <c r="B52" s="132"/>
      <c r="C52" s="132"/>
      <c r="D52" s="43" t="s">
        <v>225</v>
      </c>
      <c r="E52" s="132"/>
      <c r="F52" s="165"/>
      <c r="G52" s="166"/>
      <c r="H52" s="155"/>
      <c r="I52" s="42"/>
      <c r="J52" s="12"/>
      <c r="K52" s="12"/>
      <c r="L52" s="12"/>
    </row>
    <row r="53" spans="1:25" s="2" customFormat="1" ht="13.5" customHeight="1">
      <c r="A53" s="158">
        <v>22</v>
      </c>
      <c r="B53" s="130">
        <v>279</v>
      </c>
      <c r="C53" s="130">
        <v>279351121</v>
      </c>
      <c r="D53" s="130" t="s">
        <v>237</v>
      </c>
      <c r="E53" s="130" t="s">
        <v>21</v>
      </c>
      <c r="F53" s="159">
        <f>SUM(F54:F54)</f>
        <v>43.228000000000002</v>
      </c>
      <c r="G53" s="155"/>
      <c r="H53" s="155">
        <f>F53*G53</f>
        <v>0</v>
      </c>
      <c r="I53" s="42" t="s">
        <v>105</v>
      </c>
      <c r="J53" s="12"/>
      <c r="K53" s="12"/>
      <c r="L53" s="12"/>
    </row>
    <row r="54" spans="1:25" s="126" customFormat="1" ht="13.5" customHeight="1">
      <c r="A54" s="161"/>
      <c r="B54" s="43"/>
      <c r="C54" s="43"/>
      <c r="D54" s="43" t="s">
        <v>240</v>
      </c>
      <c r="E54" s="43"/>
      <c r="F54" s="44">
        <f>(2.85+3.65+3.15+2.85)*1.25*2+(1.95+1.85+1.85)*1.06*2</f>
        <v>43.228000000000002</v>
      </c>
      <c r="G54" s="160"/>
      <c r="H54" s="160"/>
      <c r="I54" s="162"/>
      <c r="J54" s="125"/>
      <c r="K54" s="125"/>
      <c r="L54" s="125"/>
    </row>
    <row r="55" spans="1:25" s="2" customFormat="1" ht="13.5" customHeight="1">
      <c r="A55" s="158">
        <v>23</v>
      </c>
      <c r="B55" s="130">
        <v>279</v>
      </c>
      <c r="C55" s="130">
        <v>279351122</v>
      </c>
      <c r="D55" s="130" t="s">
        <v>238</v>
      </c>
      <c r="E55" s="130" t="s">
        <v>21</v>
      </c>
      <c r="F55" s="159">
        <f>F53</f>
        <v>43.228000000000002</v>
      </c>
      <c r="G55" s="155"/>
      <c r="H55" s="155">
        <f>F55*G55</f>
        <v>0</v>
      </c>
      <c r="I55" s="42" t="s">
        <v>105</v>
      </c>
      <c r="J55" s="12"/>
      <c r="K55" s="12"/>
      <c r="L55" s="12"/>
    </row>
    <row r="56" spans="1:25" s="2" customFormat="1" ht="13.5" customHeight="1">
      <c r="A56" s="158">
        <v>24</v>
      </c>
      <c r="B56" s="130">
        <v>279</v>
      </c>
      <c r="C56" s="130">
        <v>279361821</v>
      </c>
      <c r="D56" s="130" t="s">
        <v>239</v>
      </c>
      <c r="E56" s="130" t="s">
        <v>35</v>
      </c>
      <c r="F56" s="159">
        <f>F57</f>
        <v>1.1900000000000002</v>
      </c>
      <c r="G56" s="155"/>
      <c r="H56" s="155">
        <f>F56*G56</f>
        <v>0</v>
      </c>
      <c r="I56" s="42" t="s">
        <v>105</v>
      </c>
      <c r="J56" s="12"/>
      <c r="K56" s="12"/>
      <c r="L56" s="12"/>
    </row>
    <row r="57" spans="1:25" s="126" customFormat="1" ht="25.5" customHeight="1">
      <c r="A57" s="161"/>
      <c r="B57" s="43"/>
      <c r="C57" s="43"/>
      <c r="D57" s="43" t="s">
        <v>807</v>
      </c>
      <c r="E57" s="43"/>
      <c r="F57" s="44">
        <f>5.95*0.2</f>
        <v>1.1900000000000002</v>
      </c>
      <c r="G57" s="160"/>
      <c r="H57" s="160"/>
      <c r="I57" s="162"/>
      <c r="J57" s="125"/>
      <c r="K57" s="125"/>
      <c r="L57" s="125"/>
    </row>
    <row r="58" spans="1:25" s="12" customFormat="1" ht="13.5" customHeight="1">
      <c r="A58" s="158">
        <v>25</v>
      </c>
      <c r="B58" s="130">
        <v>283</v>
      </c>
      <c r="C58" s="130" t="s">
        <v>241</v>
      </c>
      <c r="D58" s="130" t="s">
        <v>363</v>
      </c>
      <c r="E58" s="130" t="s">
        <v>55</v>
      </c>
      <c r="F58" s="159">
        <f>F59</f>
        <v>71.599999999999994</v>
      </c>
      <c r="G58" s="167">
        <f>SUM(H60:H62)/F58</f>
        <v>0</v>
      </c>
      <c r="H58" s="155">
        <f>F58*G58</f>
        <v>0</v>
      </c>
      <c r="I58" s="42" t="s">
        <v>109</v>
      </c>
    </row>
    <row r="59" spans="1:25" s="12" customFormat="1" ht="13.5" customHeight="1">
      <c r="A59" s="158"/>
      <c r="B59" s="131"/>
      <c r="C59" s="130"/>
      <c r="D59" s="43" t="s">
        <v>798</v>
      </c>
      <c r="E59" s="130"/>
      <c r="F59" s="44">
        <f>59+12.6</f>
        <v>71.599999999999994</v>
      </c>
      <c r="G59" s="155"/>
      <c r="H59" s="155"/>
      <c r="I59" s="42"/>
    </row>
    <row r="60" spans="1:25" s="12" customFormat="1" ht="13.5" customHeight="1">
      <c r="A60" s="107" t="s">
        <v>895</v>
      </c>
      <c r="B60" s="71"/>
      <c r="C60" s="71"/>
      <c r="D60" s="127" t="s">
        <v>799</v>
      </c>
      <c r="E60" s="114" t="s">
        <v>55</v>
      </c>
      <c r="F60" s="72">
        <v>71.599999999999994</v>
      </c>
      <c r="G60" s="67"/>
      <c r="H60" s="44">
        <f>F60*G60</f>
        <v>0</v>
      </c>
      <c r="I60" s="42"/>
      <c r="K60" s="115"/>
      <c r="L60" s="116"/>
      <c r="M60" s="116"/>
      <c r="N60" s="106"/>
      <c r="O60" s="116"/>
      <c r="P60" s="117"/>
      <c r="Q60" s="118"/>
      <c r="R60" s="119"/>
    </row>
    <row r="61" spans="1:25" s="12" customFormat="1" ht="13.5" customHeight="1">
      <c r="A61" s="107" t="s">
        <v>896</v>
      </c>
      <c r="B61" s="71"/>
      <c r="C61" s="71"/>
      <c r="D61" s="127" t="s">
        <v>800</v>
      </c>
      <c r="E61" s="114" t="s">
        <v>55</v>
      </c>
      <c r="F61" s="72">
        <v>71.599999999999994</v>
      </c>
      <c r="G61" s="67"/>
      <c r="H61" s="44">
        <f>F61*G61</f>
        <v>0</v>
      </c>
      <c r="I61" s="42"/>
      <c r="K61" s="115"/>
      <c r="L61" s="116"/>
      <c r="M61" s="116"/>
      <c r="N61" s="106"/>
      <c r="O61" s="116"/>
      <c r="P61" s="117"/>
      <c r="Q61" s="118"/>
      <c r="R61" s="119"/>
    </row>
    <row r="62" spans="1:25" s="12" customFormat="1" ht="13.5" customHeight="1">
      <c r="A62" s="107" t="s">
        <v>897</v>
      </c>
      <c r="B62" s="71"/>
      <c r="C62" s="71"/>
      <c r="D62" s="127" t="s">
        <v>801</v>
      </c>
      <c r="E62" s="114" t="s">
        <v>27</v>
      </c>
      <c r="F62" s="72">
        <v>48.9</v>
      </c>
      <c r="G62" s="67"/>
      <c r="H62" s="44">
        <f>F62*G62</f>
        <v>0</v>
      </c>
      <c r="I62" s="42"/>
      <c r="K62" s="115"/>
      <c r="L62" s="116"/>
      <c r="M62" s="116"/>
      <c r="N62" s="106"/>
      <c r="O62" s="116"/>
      <c r="P62" s="117"/>
      <c r="Q62" s="118"/>
      <c r="R62" s="119"/>
    </row>
    <row r="63" spans="1:25" s="2" customFormat="1" ht="48" customHeight="1">
      <c r="A63" s="164"/>
      <c r="B63" s="168"/>
      <c r="C63" s="132"/>
      <c r="D63" s="43" t="s">
        <v>242</v>
      </c>
      <c r="E63" s="43"/>
      <c r="F63" s="44"/>
      <c r="G63" s="166"/>
      <c r="H63" s="155"/>
      <c r="I63" s="45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</row>
    <row r="64" spans="1:25" s="2" customFormat="1" ht="13.5" customHeight="1">
      <c r="A64" s="158">
        <v>26</v>
      </c>
      <c r="B64" s="130">
        <v>771</v>
      </c>
      <c r="C64" s="130" t="s">
        <v>594</v>
      </c>
      <c r="D64" s="130" t="s">
        <v>579</v>
      </c>
      <c r="E64" s="130" t="s">
        <v>21</v>
      </c>
      <c r="F64" s="159">
        <f>F72</f>
        <v>113.9</v>
      </c>
      <c r="G64" s="167">
        <f>SUM(H66:H70)/F64</f>
        <v>0</v>
      </c>
      <c r="H64" s="155">
        <f>G64*F64</f>
        <v>0</v>
      </c>
      <c r="I64" s="42" t="s">
        <v>109</v>
      </c>
    </row>
    <row r="65" spans="1:25" s="133" customFormat="1" ht="13.5" customHeight="1">
      <c r="A65" s="161"/>
      <c r="B65" s="169"/>
      <c r="C65" s="43"/>
      <c r="D65" s="43" t="s">
        <v>310</v>
      </c>
      <c r="E65" s="43"/>
      <c r="F65" s="44"/>
      <c r="G65" s="160"/>
      <c r="H65" s="160"/>
      <c r="I65" s="170"/>
    </row>
    <row r="66" spans="1:25" s="2" customFormat="1" ht="13.5" customHeight="1">
      <c r="A66" s="134" t="s">
        <v>898</v>
      </c>
      <c r="B66" s="132"/>
      <c r="C66" s="132"/>
      <c r="D66" s="43" t="s">
        <v>581</v>
      </c>
      <c r="E66" s="135" t="s">
        <v>21</v>
      </c>
      <c r="F66" s="44">
        <v>125.3</v>
      </c>
      <c r="G66" s="67"/>
      <c r="H66" s="44">
        <f>F66*G66</f>
        <v>0</v>
      </c>
      <c r="I66" s="45"/>
    </row>
    <row r="67" spans="1:25" s="2" customFormat="1" ht="13.5" customHeight="1">
      <c r="A67" s="134" t="s">
        <v>899</v>
      </c>
      <c r="B67" s="132"/>
      <c r="C67" s="132"/>
      <c r="D67" s="43" t="s">
        <v>582</v>
      </c>
      <c r="E67" s="135" t="s">
        <v>27</v>
      </c>
      <c r="F67" s="44">
        <v>18</v>
      </c>
      <c r="G67" s="67"/>
      <c r="H67" s="44">
        <f>F67*G67</f>
        <v>0</v>
      </c>
      <c r="I67" s="45"/>
    </row>
    <row r="68" spans="1:25" s="2" customFormat="1" ht="13.5" customHeight="1">
      <c r="A68" s="134" t="s">
        <v>900</v>
      </c>
      <c r="B68" s="132"/>
      <c r="C68" s="132"/>
      <c r="D68" s="43" t="s">
        <v>583</v>
      </c>
      <c r="E68" s="135" t="s">
        <v>21</v>
      </c>
      <c r="F68" s="44">
        <v>131</v>
      </c>
      <c r="G68" s="67"/>
      <c r="H68" s="44">
        <f>F68*G68</f>
        <v>0</v>
      </c>
      <c r="I68" s="45"/>
    </row>
    <row r="69" spans="1:25" s="2" customFormat="1" ht="13.5" customHeight="1">
      <c r="A69" s="134" t="s">
        <v>901</v>
      </c>
      <c r="B69" s="132"/>
      <c r="C69" s="132"/>
      <c r="D69" s="43" t="s">
        <v>584</v>
      </c>
      <c r="E69" s="135" t="s">
        <v>21</v>
      </c>
      <c r="F69" s="44">
        <v>125.3</v>
      </c>
      <c r="G69" s="67"/>
      <c r="H69" s="44">
        <f>F69*G69</f>
        <v>0</v>
      </c>
      <c r="I69" s="45"/>
    </row>
    <row r="70" spans="1:25" s="2" customFormat="1" ht="13.5" customHeight="1">
      <c r="A70" s="134" t="s">
        <v>902</v>
      </c>
      <c r="B70" s="132"/>
      <c r="C70" s="132"/>
      <c r="D70" s="43" t="s">
        <v>585</v>
      </c>
      <c r="E70" s="135" t="s">
        <v>27</v>
      </c>
      <c r="F70" s="44">
        <v>47.9</v>
      </c>
      <c r="G70" s="67"/>
      <c r="H70" s="44">
        <f>F70*G70</f>
        <v>0</v>
      </c>
      <c r="I70" s="45"/>
    </row>
    <row r="71" spans="1:25" s="136" customFormat="1" ht="27.75" customHeight="1">
      <c r="A71" s="161"/>
      <c r="B71" s="169"/>
      <c r="C71" s="43"/>
      <c r="D71" s="43" t="s">
        <v>580</v>
      </c>
      <c r="E71" s="43"/>
      <c r="F71" s="44"/>
      <c r="G71" s="160"/>
      <c r="H71" s="160"/>
      <c r="I71" s="170"/>
    </row>
    <row r="72" spans="1:25" s="12" customFormat="1" ht="13.5" customHeight="1">
      <c r="A72" s="158"/>
      <c r="B72" s="131"/>
      <c r="C72" s="130"/>
      <c r="D72" s="43" t="s">
        <v>362</v>
      </c>
      <c r="E72" s="130"/>
      <c r="F72" s="44">
        <f>113.9*1</f>
        <v>113.9</v>
      </c>
      <c r="G72" s="155"/>
      <c r="H72" s="155"/>
      <c r="I72" s="42"/>
    </row>
    <row r="73" spans="1:25" s="120" customFormat="1" ht="13.5" customHeight="1">
      <c r="A73" s="69"/>
      <c r="B73" s="74"/>
      <c r="C73" s="74">
        <v>3</v>
      </c>
      <c r="D73" s="74" t="s">
        <v>45</v>
      </c>
      <c r="E73" s="74"/>
      <c r="F73" s="75"/>
      <c r="G73" s="76"/>
      <c r="H73" s="76">
        <f>SUM(H74:H116)+SUM(H120:H139)</f>
        <v>0</v>
      </c>
      <c r="I73" s="77"/>
    </row>
    <row r="74" spans="1:25" ht="13.5" customHeight="1">
      <c r="A74" s="158">
        <v>27</v>
      </c>
      <c r="B74" s="130">
        <v>311</v>
      </c>
      <c r="C74" s="130">
        <v>311234031</v>
      </c>
      <c r="D74" s="130" t="s">
        <v>253</v>
      </c>
      <c r="E74" s="130" t="s">
        <v>21</v>
      </c>
      <c r="F74" s="163">
        <f>F75+F76+F77+F78+F79</f>
        <v>111.89999999999999</v>
      </c>
      <c r="G74" s="155"/>
      <c r="H74" s="155">
        <f>F74*G74</f>
        <v>0</v>
      </c>
      <c r="I74" s="42" t="s">
        <v>105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</row>
    <row r="75" spans="1:25" ht="13.5" customHeight="1">
      <c r="A75" s="171"/>
      <c r="B75" s="131"/>
      <c r="C75" s="130"/>
      <c r="D75" s="43" t="s">
        <v>254</v>
      </c>
      <c r="E75" s="130"/>
      <c r="F75" s="44">
        <v>22.5</v>
      </c>
      <c r="G75" s="155"/>
      <c r="H75" s="155"/>
      <c r="I75" s="68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spans="1:25" ht="13.5" customHeight="1">
      <c r="A76" s="171"/>
      <c r="B76" s="131"/>
      <c r="C76" s="130"/>
      <c r="D76" s="43" t="s">
        <v>555</v>
      </c>
      <c r="E76" s="130"/>
      <c r="F76" s="44">
        <v>22.3</v>
      </c>
      <c r="G76" s="155"/>
      <c r="H76" s="155"/>
      <c r="I76" s="68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</row>
    <row r="77" spans="1:25" ht="13.5" customHeight="1">
      <c r="A77" s="171"/>
      <c r="B77" s="131"/>
      <c r="C77" s="130"/>
      <c r="D77" s="43" t="s">
        <v>626</v>
      </c>
      <c r="E77" s="130"/>
      <c r="F77" s="44">
        <v>25.8</v>
      </c>
      <c r="G77" s="155"/>
      <c r="H77" s="155"/>
      <c r="I77" s="68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spans="1:25" ht="13.5" customHeight="1">
      <c r="A78" s="171"/>
      <c r="B78" s="131"/>
      <c r="C78" s="130"/>
      <c r="D78" s="43" t="s">
        <v>654</v>
      </c>
      <c r="E78" s="130"/>
      <c r="F78" s="44">
        <v>36</v>
      </c>
      <c r="G78" s="155"/>
      <c r="H78" s="155"/>
      <c r="I78" s="68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spans="1:25" ht="13.5" customHeight="1">
      <c r="A79" s="171"/>
      <c r="B79" s="131"/>
      <c r="C79" s="130"/>
      <c r="D79" s="43" t="s">
        <v>719</v>
      </c>
      <c r="E79" s="130"/>
      <c r="F79" s="44">
        <v>5.3</v>
      </c>
      <c r="G79" s="155"/>
      <c r="H79" s="155"/>
      <c r="I79" s="68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spans="1:25" s="12" customFormat="1" ht="25.5" customHeight="1">
      <c r="A80" s="158">
        <v>28</v>
      </c>
      <c r="B80" s="130">
        <v>311</v>
      </c>
      <c r="C80" s="130">
        <v>311236121</v>
      </c>
      <c r="D80" s="130" t="s">
        <v>255</v>
      </c>
      <c r="E80" s="130" t="s">
        <v>21</v>
      </c>
      <c r="F80" s="163">
        <f>F81+F82+F83+F84+F85</f>
        <v>107.7</v>
      </c>
      <c r="G80" s="155"/>
      <c r="H80" s="155">
        <f>F80*G80</f>
        <v>0</v>
      </c>
      <c r="I80" s="42" t="s">
        <v>105</v>
      </c>
    </row>
    <row r="81" spans="1:9" s="10" customFormat="1" ht="13.5" customHeight="1">
      <c r="A81" s="171"/>
      <c r="B81" s="131"/>
      <c r="C81" s="130"/>
      <c r="D81" s="43" t="s">
        <v>254</v>
      </c>
      <c r="E81" s="130"/>
      <c r="F81" s="44">
        <v>17.399999999999999</v>
      </c>
      <c r="G81" s="155"/>
      <c r="H81" s="155"/>
      <c r="I81" s="68"/>
    </row>
    <row r="82" spans="1:9" s="10" customFormat="1" ht="13.5" customHeight="1">
      <c r="A82" s="171"/>
      <c r="B82" s="131"/>
      <c r="C82" s="130"/>
      <c r="D82" s="43" t="s">
        <v>555</v>
      </c>
      <c r="E82" s="130"/>
      <c r="F82" s="44">
        <v>20.9</v>
      </c>
      <c r="G82" s="155"/>
      <c r="H82" s="155"/>
      <c r="I82" s="68"/>
    </row>
    <row r="83" spans="1:9" s="10" customFormat="1" ht="13.5" customHeight="1">
      <c r="A83" s="171"/>
      <c r="B83" s="131"/>
      <c r="C83" s="130"/>
      <c r="D83" s="43" t="s">
        <v>626</v>
      </c>
      <c r="E83" s="130"/>
      <c r="F83" s="44">
        <v>23.2</v>
      </c>
      <c r="G83" s="155"/>
      <c r="H83" s="155"/>
      <c r="I83" s="68"/>
    </row>
    <row r="84" spans="1:9" s="10" customFormat="1" ht="13.5" customHeight="1">
      <c r="A84" s="171"/>
      <c r="B84" s="131"/>
      <c r="C84" s="130"/>
      <c r="D84" s="43" t="s">
        <v>654</v>
      </c>
      <c r="E84" s="130"/>
      <c r="F84" s="44">
        <v>23.4</v>
      </c>
      <c r="G84" s="155"/>
      <c r="H84" s="155"/>
      <c r="I84" s="68"/>
    </row>
    <row r="85" spans="1:9" s="10" customFormat="1" ht="13.5" customHeight="1">
      <c r="A85" s="171"/>
      <c r="B85" s="131"/>
      <c r="C85" s="130"/>
      <c r="D85" s="43" t="s">
        <v>719</v>
      </c>
      <c r="E85" s="130"/>
      <c r="F85" s="44">
        <v>22.8</v>
      </c>
      <c r="G85" s="155"/>
      <c r="H85" s="155"/>
      <c r="I85" s="68"/>
    </row>
    <row r="86" spans="1:9" s="12" customFormat="1" ht="13.5" customHeight="1">
      <c r="A86" s="158">
        <v>29</v>
      </c>
      <c r="B86" s="130">
        <v>311</v>
      </c>
      <c r="C86" s="130">
        <v>311321411</v>
      </c>
      <c r="D86" s="130" t="s">
        <v>250</v>
      </c>
      <c r="E86" s="130" t="s">
        <v>27</v>
      </c>
      <c r="F86" s="163">
        <f>F87+F88+F89+F90+F91</f>
        <v>82.949999999999989</v>
      </c>
      <c r="G86" s="155"/>
      <c r="H86" s="155">
        <f>F86*G86</f>
        <v>0</v>
      </c>
      <c r="I86" s="42" t="s">
        <v>105</v>
      </c>
    </row>
    <row r="87" spans="1:9" s="10" customFormat="1" ht="13.5" customHeight="1">
      <c r="A87" s="171"/>
      <c r="B87" s="131"/>
      <c r="C87" s="130"/>
      <c r="D87" s="43" t="s">
        <v>528</v>
      </c>
      <c r="E87" s="130"/>
      <c r="F87" s="44">
        <f>14.7*1.05</f>
        <v>15.435</v>
      </c>
      <c r="G87" s="155"/>
      <c r="H87" s="155"/>
      <c r="I87" s="68"/>
    </row>
    <row r="88" spans="1:9" s="10" customFormat="1" ht="13.5" customHeight="1">
      <c r="A88" s="171"/>
      <c r="B88" s="131"/>
      <c r="C88" s="130"/>
      <c r="D88" s="43" t="s">
        <v>544</v>
      </c>
      <c r="E88" s="130"/>
      <c r="F88" s="44">
        <f>16*1.05</f>
        <v>16.8</v>
      </c>
      <c r="G88" s="155"/>
      <c r="H88" s="155"/>
      <c r="I88" s="68"/>
    </row>
    <row r="89" spans="1:9" s="10" customFormat="1" ht="13.5" customHeight="1">
      <c r="A89" s="171"/>
      <c r="B89" s="131"/>
      <c r="C89" s="130"/>
      <c r="D89" s="43" t="s">
        <v>625</v>
      </c>
      <c r="E89" s="130"/>
      <c r="F89" s="44">
        <f>16.1*1.05</f>
        <v>16.905000000000001</v>
      </c>
      <c r="G89" s="155"/>
      <c r="H89" s="155"/>
      <c r="I89" s="68"/>
    </row>
    <row r="90" spans="1:9" s="10" customFormat="1" ht="13.5" customHeight="1">
      <c r="A90" s="171"/>
      <c r="B90" s="131"/>
      <c r="C90" s="130"/>
      <c r="D90" s="43" t="s">
        <v>651</v>
      </c>
      <c r="E90" s="130"/>
      <c r="F90" s="44">
        <f>16.3*1.05</f>
        <v>17.115000000000002</v>
      </c>
      <c r="G90" s="155"/>
      <c r="H90" s="155"/>
      <c r="I90" s="68"/>
    </row>
    <row r="91" spans="1:9" s="10" customFormat="1" ht="13.5" customHeight="1">
      <c r="A91" s="171"/>
      <c r="B91" s="131"/>
      <c r="C91" s="130"/>
      <c r="D91" s="43" t="s">
        <v>717</v>
      </c>
      <c r="E91" s="130"/>
      <c r="F91" s="44">
        <f>15.9*1.05</f>
        <v>16.695</v>
      </c>
      <c r="G91" s="155"/>
      <c r="H91" s="155"/>
      <c r="I91" s="68"/>
    </row>
    <row r="92" spans="1:9" s="2" customFormat="1" ht="23.25" customHeight="1">
      <c r="A92" s="164"/>
      <c r="B92" s="132"/>
      <c r="C92" s="132"/>
      <c r="D92" s="43" t="s">
        <v>225</v>
      </c>
      <c r="E92" s="132"/>
      <c r="F92" s="165"/>
      <c r="G92" s="166"/>
      <c r="H92" s="155"/>
      <c r="I92" s="42"/>
    </row>
    <row r="93" spans="1:9" s="2" customFormat="1" ht="13.5" customHeight="1">
      <c r="A93" s="158">
        <v>30</v>
      </c>
      <c r="B93" s="130">
        <v>311</v>
      </c>
      <c r="C93" s="130">
        <v>311351121</v>
      </c>
      <c r="D93" s="130" t="s">
        <v>251</v>
      </c>
      <c r="E93" s="130" t="s">
        <v>21</v>
      </c>
      <c r="F93" s="159">
        <f>F94+F95+F96+F97+F98</f>
        <v>688.34500000000003</v>
      </c>
      <c r="G93" s="155"/>
      <c r="H93" s="155">
        <f>F93*G93</f>
        <v>0</v>
      </c>
      <c r="I93" s="42" t="s">
        <v>105</v>
      </c>
    </row>
    <row r="94" spans="1:9" s="10" customFormat="1" ht="13.5" customHeight="1">
      <c r="A94" s="171"/>
      <c r="B94" s="131"/>
      <c r="C94" s="130"/>
      <c r="D94" s="43" t="s">
        <v>545</v>
      </c>
      <c r="E94" s="130"/>
      <c r="F94" s="44">
        <f>(1.85*2+1.95*2+3.15+2.9*2+1.2)*3.81*2</f>
        <v>135.255</v>
      </c>
      <c r="G94" s="155"/>
      <c r="H94" s="155"/>
      <c r="I94" s="68"/>
    </row>
    <row r="95" spans="1:9" s="10" customFormat="1" ht="13.5" customHeight="1">
      <c r="A95" s="171"/>
      <c r="B95" s="131"/>
      <c r="C95" s="130"/>
      <c r="D95" s="43" t="s">
        <v>546</v>
      </c>
      <c r="E95" s="130"/>
      <c r="F95" s="44">
        <f>(1.85*2+1.95*2+3.15+2.9*2+1.2)*3.885*2</f>
        <v>137.91749999999999</v>
      </c>
      <c r="G95" s="155"/>
      <c r="H95" s="155"/>
      <c r="I95" s="68"/>
    </row>
    <row r="96" spans="1:9" s="10" customFormat="1" ht="13.5" customHeight="1">
      <c r="A96" s="171"/>
      <c r="B96" s="131"/>
      <c r="C96" s="130"/>
      <c r="D96" s="43" t="s">
        <v>652</v>
      </c>
      <c r="E96" s="130"/>
      <c r="F96" s="44">
        <f>(1.85*2+1.95*2+3.15+2.9*2+1.2)*3.905*2</f>
        <v>138.6275</v>
      </c>
      <c r="G96" s="155"/>
      <c r="H96" s="155"/>
      <c r="I96" s="68"/>
    </row>
    <row r="97" spans="1:25" s="10" customFormat="1" ht="13.5" customHeight="1">
      <c r="A97" s="171"/>
      <c r="B97" s="131"/>
      <c r="C97" s="130"/>
      <c r="D97" s="43" t="s">
        <v>653</v>
      </c>
      <c r="E97" s="130"/>
      <c r="F97" s="44">
        <f>(1.85*2+1.95*2+3.15+2.9*2+1.2)*3.885*2</f>
        <v>137.91749999999999</v>
      </c>
      <c r="G97" s="155"/>
      <c r="H97" s="155"/>
      <c r="I97" s="68"/>
    </row>
    <row r="98" spans="1:25" s="10" customFormat="1" ht="13.5" customHeight="1">
      <c r="A98" s="171"/>
      <c r="B98" s="131"/>
      <c r="C98" s="130"/>
      <c r="D98" s="43" t="s">
        <v>718</v>
      </c>
      <c r="E98" s="130"/>
      <c r="F98" s="44">
        <f xml:space="preserve"> (1.85*2+1.95*2+3.15+2.9*2+1.2)*3.905*2</f>
        <v>138.6275</v>
      </c>
      <c r="G98" s="155"/>
      <c r="H98" s="155"/>
      <c r="I98" s="68"/>
    </row>
    <row r="99" spans="1:25" s="2" customFormat="1" ht="13.5" customHeight="1">
      <c r="A99" s="158">
        <v>31</v>
      </c>
      <c r="B99" s="130">
        <v>311</v>
      </c>
      <c r="C99" s="130">
        <v>311351122</v>
      </c>
      <c r="D99" s="130" t="s">
        <v>252</v>
      </c>
      <c r="E99" s="130" t="s">
        <v>21</v>
      </c>
      <c r="F99" s="159">
        <f>F93</f>
        <v>688.34500000000003</v>
      </c>
      <c r="G99" s="155"/>
      <c r="H99" s="155">
        <f>F99*G99</f>
        <v>0</v>
      </c>
      <c r="I99" s="42" t="s">
        <v>105</v>
      </c>
    </row>
    <row r="100" spans="1:25" s="2" customFormat="1" ht="13.5" customHeight="1">
      <c r="A100" s="158">
        <v>32</v>
      </c>
      <c r="B100" s="130">
        <v>311</v>
      </c>
      <c r="C100" s="130">
        <v>311361821</v>
      </c>
      <c r="D100" s="130" t="s">
        <v>249</v>
      </c>
      <c r="E100" s="130" t="s">
        <v>35</v>
      </c>
      <c r="F100" s="159">
        <f>F101+F102+F103+F104+F105</f>
        <v>15.8</v>
      </c>
      <c r="G100" s="155"/>
      <c r="H100" s="155">
        <f>F100*G100</f>
        <v>0</v>
      </c>
      <c r="I100" s="42" t="s">
        <v>105</v>
      </c>
    </row>
    <row r="101" spans="1:25" s="126" customFormat="1" ht="13.5" customHeight="1">
      <c r="A101" s="161"/>
      <c r="B101" s="43"/>
      <c r="C101" s="43"/>
      <c r="D101" s="43" t="s">
        <v>808</v>
      </c>
      <c r="E101" s="43"/>
      <c r="F101" s="44">
        <f>14.7*0.2</f>
        <v>2.94</v>
      </c>
      <c r="G101" s="160"/>
      <c r="H101" s="160"/>
      <c r="I101" s="162"/>
    </row>
    <row r="102" spans="1:25" s="126" customFormat="1" ht="13.5" customHeight="1">
      <c r="A102" s="161"/>
      <c r="B102" s="43"/>
      <c r="C102" s="43"/>
      <c r="D102" s="43" t="s">
        <v>809</v>
      </c>
      <c r="E102" s="43"/>
      <c r="F102" s="44">
        <f>16*0.2</f>
        <v>3.2</v>
      </c>
      <c r="G102" s="160"/>
      <c r="H102" s="160"/>
      <c r="I102" s="162"/>
    </row>
    <row r="103" spans="1:25" s="126" customFormat="1" ht="13.5" customHeight="1">
      <c r="A103" s="161"/>
      <c r="B103" s="43"/>
      <c r="C103" s="43"/>
      <c r="D103" s="43" t="s">
        <v>810</v>
      </c>
      <c r="E103" s="43"/>
      <c r="F103" s="44">
        <f xml:space="preserve"> 16.1*0.2</f>
        <v>3.2200000000000006</v>
      </c>
      <c r="G103" s="160"/>
      <c r="H103" s="160"/>
      <c r="I103" s="162"/>
    </row>
    <row r="104" spans="1:25" s="126" customFormat="1" ht="13.5" customHeight="1">
      <c r="A104" s="161"/>
      <c r="B104" s="43"/>
      <c r="C104" s="43"/>
      <c r="D104" s="43" t="s">
        <v>811</v>
      </c>
      <c r="E104" s="43"/>
      <c r="F104" s="44">
        <f>16.3*0.2</f>
        <v>3.2600000000000002</v>
      </c>
      <c r="G104" s="160"/>
      <c r="H104" s="160"/>
      <c r="I104" s="162"/>
    </row>
    <row r="105" spans="1:25" s="126" customFormat="1" ht="13.5" customHeight="1">
      <c r="A105" s="161"/>
      <c r="B105" s="43"/>
      <c r="C105" s="43"/>
      <c r="D105" s="43" t="s">
        <v>812</v>
      </c>
      <c r="E105" s="43"/>
      <c r="F105" s="44">
        <f>15.9*0.2</f>
        <v>3.18</v>
      </c>
      <c r="G105" s="160"/>
      <c r="H105" s="160"/>
      <c r="I105" s="162"/>
    </row>
    <row r="106" spans="1:25" s="121" customFormat="1" ht="13.5" customHeight="1">
      <c r="A106" s="158">
        <v>33</v>
      </c>
      <c r="B106" s="130">
        <v>174</v>
      </c>
      <c r="C106" s="130" t="s">
        <v>182</v>
      </c>
      <c r="D106" s="130" t="s">
        <v>183</v>
      </c>
      <c r="E106" s="130" t="s">
        <v>27</v>
      </c>
      <c r="F106" s="172">
        <f>F107</f>
        <v>46.6</v>
      </c>
      <c r="G106" s="155"/>
      <c r="H106" s="155">
        <f>F106*G106</f>
        <v>0</v>
      </c>
      <c r="I106" s="42" t="s">
        <v>109</v>
      </c>
      <c r="J106" s="122"/>
    </row>
    <row r="107" spans="1:25" s="2" customFormat="1" ht="13.5" customHeight="1">
      <c r="A107" s="158"/>
      <c r="B107" s="131"/>
      <c r="C107" s="130"/>
      <c r="D107" s="43" t="s">
        <v>184</v>
      </c>
      <c r="E107" s="130"/>
      <c r="F107" s="44">
        <f>26.1+20.5</f>
        <v>46.6</v>
      </c>
      <c r="G107" s="155"/>
      <c r="H107" s="155"/>
      <c r="I107" s="45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s="2" customFormat="1" ht="39" customHeight="1">
      <c r="A108" s="158"/>
      <c r="B108" s="131"/>
      <c r="C108" s="130"/>
      <c r="D108" s="43" t="s">
        <v>185</v>
      </c>
      <c r="E108" s="130"/>
      <c r="F108" s="44"/>
      <c r="G108" s="155"/>
      <c r="H108" s="155"/>
      <c r="I108" s="45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</row>
    <row r="109" spans="1:25" s="2" customFormat="1" ht="26.25" customHeight="1">
      <c r="A109" s="158"/>
      <c r="B109" s="131"/>
      <c r="C109" s="130"/>
      <c r="D109" s="43" t="s">
        <v>349</v>
      </c>
      <c r="E109" s="130"/>
      <c r="F109" s="44"/>
      <c r="G109" s="155"/>
      <c r="H109" s="155"/>
      <c r="I109" s="45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</row>
    <row r="110" spans="1:25" s="2" customFormat="1" ht="13.5" customHeight="1">
      <c r="A110" s="158"/>
      <c r="B110" s="131"/>
      <c r="C110" s="130"/>
      <c r="D110" s="43" t="s">
        <v>957</v>
      </c>
      <c r="E110" s="130"/>
      <c r="F110" s="44"/>
      <c r="G110" s="155"/>
      <c r="H110" s="155"/>
      <c r="I110" s="45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s="12" customFormat="1" ht="13.5" customHeight="1">
      <c r="A111" s="158">
        <v>34</v>
      </c>
      <c r="B111" s="130">
        <v>411</v>
      </c>
      <c r="C111" s="130" t="s">
        <v>367</v>
      </c>
      <c r="D111" s="130" t="s">
        <v>675</v>
      </c>
      <c r="E111" s="130" t="s">
        <v>21</v>
      </c>
      <c r="F111" s="159">
        <f>F112+F113+F114+F115+F116</f>
        <v>59.808</v>
      </c>
      <c r="G111" s="167">
        <f>SUM(H117:H118)/F111</f>
        <v>0</v>
      </c>
      <c r="H111" s="155">
        <f>F111*G111</f>
        <v>0</v>
      </c>
      <c r="I111" s="42" t="s">
        <v>109</v>
      </c>
    </row>
    <row r="112" spans="1:25" s="12" customFormat="1" ht="13.5" customHeight="1">
      <c r="A112" s="158"/>
      <c r="B112" s="131"/>
      <c r="C112" s="130"/>
      <c r="D112" s="43" t="s">
        <v>368</v>
      </c>
      <c r="E112" s="130"/>
      <c r="F112" s="44">
        <f>(0.95*2+0.73*2)*3.5</f>
        <v>11.76</v>
      </c>
      <c r="G112" s="155"/>
      <c r="H112" s="155"/>
      <c r="I112" s="42"/>
    </row>
    <row r="113" spans="1:25" s="12" customFormat="1" ht="13.5" customHeight="1">
      <c r="A113" s="158"/>
      <c r="B113" s="131"/>
      <c r="C113" s="130"/>
      <c r="D113" s="43" t="s">
        <v>577</v>
      </c>
      <c r="E113" s="130"/>
      <c r="F113" s="44">
        <f>(0.95*2+0.73*2)*3.6</f>
        <v>12.096</v>
      </c>
      <c r="G113" s="155"/>
      <c r="H113" s="155"/>
      <c r="I113" s="42"/>
    </row>
    <row r="114" spans="1:25" s="12" customFormat="1" ht="13.5" customHeight="1">
      <c r="A114" s="158"/>
      <c r="B114" s="131"/>
      <c r="C114" s="130"/>
      <c r="D114" s="43" t="s">
        <v>638</v>
      </c>
      <c r="E114" s="130"/>
      <c r="F114" s="44">
        <f>(0.95*2+0.73*2)*3.6</f>
        <v>12.096</v>
      </c>
      <c r="G114" s="155"/>
      <c r="H114" s="155"/>
      <c r="I114" s="42"/>
    </row>
    <row r="115" spans="1:25" s="12" customFormat="1" ht="13.5" customHeight="1">
      <c r="A115" s="158"/>
      <c r="B115" s="131"/>
      <c r="C115" s="130"/>
      <c r="D115" s="43" t="s">
        <v>676</v>
      </c>
      <c r="E115" s="130"/>
      <c r="F115" s="44">
        <f>(0.95*2+0.73*2)*3.6</f>
        <v>12.096</v>
      </c>
      <c r="G115" s="155"/>
      <c r="H115" s="155"/>
      <c r="I115" s="42"/>
    </row>
    <row r="116" spans="1:25" s="12" customFormat="1" ht="13.5" customHeight="1">
      <c r="A116" s="158"/>
      <c r="B116" s="131"/>
      <c r="C116" s="130"/>
      <c r="D116" s="43" t="s">
        <v>732</v>
      </c>
      <c r="E116" s="130"/>
      <c r="F116" s="44">
        <f>(0.95*2+0.73*2)*3.5</f>
        <v>11.76</v>
      </c>
      <c r="G116" s="155"/>
      <c r="H116" s="155"/>
      <c r="I116" s="42"/>
    </row>
    <row r="117" spans="1:25" s="12" customFormat="1" ht="13.5" customHeight="1">
      <c r="A117" s="107" t="s">
        <v>903</v>
      </c>
      <c r="B117" s="71"/>
      <c r="C117" s="71"/>
      <c r="D117" s="127" t="s">
        <v>733</v>
      </c>
      <c r="E117" s="114" t="s">
        <v>55</v>
      </c>
      <c r="F117" s="72">
        <f>15.4+15.9+15.9+15.9+15.4</f>
        <v>78.5</v>
      </c>
      <c r="G117" s="67"/>
      <c r="H117" s="44">
        <f>F117*G117</f>
        <v>0</v>
      </c>
      <c r="I117" s="42"/>
      <c r="K117" s="115"/>
      <c r="L117" s="116"/>
      <c r="M117" s="116"/>
      <c r="N117" s="106"/>
      <c r="O117" s="116"/>
      <c r="P117" s="117"/>
      <c r="Q117" s="118"/>
      <c r="R117" s="119"/>
    </row>
    <row r="118" spans="1:25" s="12" customFormat="1" ht="13.5" customHeight="1">
      <c r="A118" s="107" t="s">
        <v>904</v>
      </c>
      <c r="B118" s="71"/>
      <c r="C118" s="71"/>
      <c r="D118" s="127" t="s">
        <v>734</v>
      </c>
      <c r="E118" s="114" t="s">
        <v>55</v>
      </c>
      <c r="F118" s="72">
        <f>22.5+22.5+22.5+22.5+22.5</f>
        <v>112.5</v>
      </c>
      <c r="G118" s="67"/>
      <c r="H118" s="44">
        <f>F118*G118</f>
        <v>0</v>
      </c>
      <c r="I118" s="42"/>
      <c r="K118" s="115"/>
      <c r="L118" s="116"/>
      <c r="M118" s="116"/>
      <c r="N118" s="106"/>
      <c r="O118" s="116"/>
      <c r="P118" s="117"/>
      <c r="Q118" s="118"/>
      <c r="R118" s="119"/>
    </row>
    <row r="119" spans="1:25" s="12" customFormat="1" ht="13.5" customHeight="1">
      <c r="A119" s="134"/>
      <c r="B119" s="130"/>
      <c r="C119" s="130"/>
      <c r="D119" s="173" t="s">
        <v>677</v>
      </c>
      <c r="E119" s="135"/>
      <c r="F119" s="44"/>
      <c r="G119" s="44"/>
      <c r="H119" s="44"/>
      <c r="I119" s="42"/>
      <c r="K119" s="115"/>
      <c r="L119" s="116"/>
      <c r="M119" s="116"/>
      <c r="N119" s="106"/>
      <c r="O119" s="116"/>
      <c r="P119" s="117"/>
      <c r="Q119" s="118"/>
      <c r="R119" s="119"/>
    </row>
    <row r="120" spans="1:25" s="2" customFormat="1" ht="13.5" customHeight="1">
      <c r="A120" s="164"/>
      <c r="B120" s="168"/>
      <c r="C120" s="132"/>
      <c r="D120" s="43" t="s">
        <v>369</v>
      </c>
      <c r="E120" s="43"/>
      <c r="F120" s="44"/>
      <c r="G120" s="166"/>
      <c r="H120" s="155"/>
      <c r="I120" s="45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</row>
    <row r="121" spans="1:25" s="2" customFormat="1" ht="13.5" customHeight="1">
      <c r="A121" s="158">
        <v>35</v>
      </c>
      <c r="B121" s="130">
        <v>317</v>
      </c>
      <c r="C121" s="130">
        <v>317168052</v>
      </c>
      <c r="D121" s="130" t="s">
        <v>817</v>
      </c>
      <c r="E121" s="130" t="s">
        <v>46</v>
      </c>
      <c r="F121" s="159">
        <f>F122+F123</f>
        <v>9</v>
      </c>
      <c r="G121" s="155"/>
      <c r="H121" s="155">
        <f>F121*G121</f>
        <v>0</v>
      </c>
      <c r="I121" s="42" t="s">
        <v>105</v>
      </c>
    </row>
    <row r="122" spans="1:25" s="126" customFormat="1" ht="13.5" customHeight="1">
      <c r="A122" s="161"/>
      <c r="B122" s="43"/>
      <c r="C122" s="43"/>
      <c r="D122" s="43" t="s">
        <v>818</v>
      </c>
      <c r="E122" s="43"/>
      <c r="F122" s="44">
        <f>3*2</f>
        <v>6</v>
      </c>
      <c r="G122" s="160"/>
      <c r="H122" s="160"/>
      <c r="I122" s="162"/>
    </row>
    <row r="123" spans="1:25" s="126" customFormat="1" ht="13.5" customHeight="1">
      <c r="A123" s="161"/>
      <c r="B123" s="43"/>
      <c r="C123" s="43"/>
      <c r="D123" s="43" t="s">
        <v>819</v>
      </c>
      <c r="E123" s="43"/>
      <c r="F123" s="44">
        <f>3*1</f>
        <v>3</v>
      </c>
      <c r="G123" s="160"/>
      <c r="H123" s="160"/>
      <c r="I123" s="162"/>
    </row>
    <row r="124" spans="1:25" s="70" customFormat="1" ht="13.5" customHeight="1">
      <c r="A124" s="158">
        <v>36</v>
      </c>
      <c r="B124" s="130">
        <v>327</v>
      </c>
      <c r="C124" s="130" t="s">
        <v>392</v>
      </c>
      <c r="D124" s="130" t="s">
        <v>813</v>
      </c>
      <c r="E124" s="130" t="s">
        <v>27</v>
      </c>
      <c r="F124" s="163">
        <f>F125</f>
        <v>17.469899999999999</v>
      </c>
      <c r="G124" s="155"/>
      <c r="H124" s="155">
        <f>F124*G124</f>
        <v>0</v>
      </c>
      <c r="I124" s="42" t="s">
        <v>109</v>
      </c>
    </row>
    <row r="125" spans="1:25" s="70" customFormat="1" ht="38.25" customHeight="1">
      <c r="A125" s="171"/>
      <c r="B125" s="131"/>
      <c r="C125" s="130"/>
      <c r="D125" s="43" t="s">
        <v>393</v>
      </c>
      <c r="E125" s="130"/>
      <c r="F125" s="44">
        <f>1.2*0.3*(4.1+3.2+0.6+5.1)*1.05+(2.8*4.4)*0.3*1.05+2.25*0.2*(4.1+3.2+0.6+7.1)*1.05+1.8*0.2*4.2*1.05</f>
        <v>17.469899999999999</v>
      </c>
      <c r="G125" s="155"/>
      <c r="H125" s="155"/>
      <c r="I125" s="68"/>
    </row>
    <row r="126" spans="1:25" s="70" customFormat="1" ht="25.5" customHeight="1">
      <c r="A126" s="171"/>
      <c r="B126" s="131"/>
      <c r="C126" s="130"/>
      <c r="D126" s="43" t="s">
        <v>225</v>
      </c>
      <c r="E126" s="130"/>
      <c r="F126" s="44"/>
      <c r="G126" s="155"/>
      <c r="H126" s="155"/>
      <c r="I126" s="68"/>
    </row>
    <row r="127" spans="1:25" s="70" customFormat="1" ht="13.5" customHeight="1">
      <c r="A127" s="158">
        <v>37</v>
      </c>
      <c r="B127" s="130">
        <v>327</v>
      </c>
      <c r="C127" s="130">
        <v>327351211</v>
      </c>
      <c r="D127" s="130" t="s">
        <v>389</v>
      </c>
      <c r="E127" s="130" t="s">
        <v>21</v>
      </c>
      <c r="F127" s="163">
        <f>F128</f>
        <v>94.740000000000009</v>
      </c>
      <c r="G127" s="155"/>
      <c r="H127" s="155">
        <f>F127*G127</f>
        <v>0</v>
      </c>
      <c r="I127" s="42" t="s">
        <v>105</v>
      </c>
    </row>
    <row r="128" spans="1:25" s="70" customFormat="1" ht="25.5" customHeight="1">
      <c r="A128" s="171"/>
      <c r="B128" s="131"/>
      <c r="C128" s="130"/>
      <c r="D128" s="43" t="s">
        <v>394</v>
      </c>
      <c r="E128" s="130"/>
      <c r="F128" s="44">
        <f>0.3*(4.1+3.2+0.6+5.1)*2+(2.8*2+4.4*2)*0.3+2.25*(4.1+3.2+0.6+7.1)*2+1.8*4.2*2</f>
        <v>94.740000000000009</v>
      </c>
      <c r="G128" s="155"/>
      <c r="H128" s="155"/>
      <c r="I128" s="68"/>
    </row>
    <row r="129" spans="1:12" s="70" customFormat="1" ht="13.5" customHeight="1">
      <c r="A129" s="158">
        <v>38</v>
      </c>
      <c r="B129" s="130">
        <v>327</v>
      </c>
      <c r="C129" s="130">
        <v>327351221</v>
      </c>
      <c r="D129" s="130" t="s">
        <v>390</v>
      </c>
      <c r="E129" s="130" t="s">
        <v>21</v>
      </c>
      <c r="F129" s="163">
        <f>F127</f>
        <v>94.740000000000009</v>
      </c>
      <c r="G129" s="155"/>
      <c r="H129" s="155">
        <f>F129*G129</f>
        <v>0</v>
      </c>
      <c r="I129" s="42" t="s">
        <v>105</v>
      </c>
    </row>
    <row r="130" spans="1:12" s="70" customFormat="1" ht="13.5" customHeight="1">
      <c r="A130" s="158">
        <v>39</v>
      </c>
      <c r="B130" s="130">
        <v>327</v>
      </c>
      <c r="C130" s="130">
        <v>327361006</v>
      </c>
      <c r="D130" s="130" t="s">
        <v>391</v>
      </c>
      <c r="E130" s="130" t="s">
        <v>35</v>
      </c>
      <c r="F130" s="159">
        <f>F131</f>
        <v>4.159523809523809</v>
      </c>
      <c r="G130" s="155"/>
      <c r="H130" s="155">
        <f>F130*G130</f>
        <v>0</v>
      </c>
      <c r="I130" s="42" t="s">
        <v>105</v>
      </c>
    </row>
    <row r="131" spans="1:12" s="70" customFormat="1" ht="13.5" customHeight="1">
      <c r="A131" s="161"/>
      <c r="B131" s="43"/>
      <c r="C131" s="43"/>
      <c r="D131" s="43" t="s">
        <v>766</v>
      </c>
      <c r="E131" s="43"/>
      <c r="F131" s="44">
        <f>(17.47/1.05)*0.25</f>
        <v>4.159523809523809</v>
      </c>
      <c r="G131" s="160"/>
      <c r="H131" s="160"/>
      <c r="I131" s="162"/>
    </row>
    <row r="132" spans="1:12" s="70" customFormat="1" ht="13.5" customHeight="1">
      <c r="A132" s="158">
        <v>40</v>
      </c>
      <c r="B132" s="130">
        <v>342</v>
      </c>
      <c r="C132" s="130">
        <v>342244111</v>
      </c>
      <c r="D132" s="130" t="s">
        <v>530</v>
      </c>
      <c r="E132" s="130" t="s">
        <v>21</v>
      </c>
      <c r="F132" s="159">
        <f>F133+F134+F135+F136+F137</f>
        <v>71.100000000000009</v>
      </c>
      <c r="G132" s="155"/>
      <c r="H132" s="155">
        <f>F132*G132</f>
        <v>0</v>
      </c>
      <c r="I132" s="42" t="s">
        <v>105</v>
      </c>
    </row>
    <row r="133" spans="1:12" s="70" customFormat="1" ht="13.5" customHeight="1">
      <c r="A133" s="161"/>
      <c r="B133" s="43"/>
      <c r="C133" s="43"/>
      <c r="D133" s="43" t="s">
        <v>529</v>
      </c>
      <c r="E133" s="43"/>
      <c r="F133" s="44">
        <v>25.8</v>
      </c>
      <c r="G133" s="160"/>
      <c r="H133" s="160"/>
      <c r="I133" s="162"/>
    </row>
    <row r="134" spans="1:12" s="70" customFormat="1" ht="13.5" customHeight="1">
      <c r="A134" s="161"/>
      <c r="B134" s="43"/>
      <c r="C134" s="43"/>
      <c r="D134" s="43" t="s">
        <v>556</v>
      </c>
      <c r="E134" s="43"/>
      <c r="F134" s="44">
        <v>8.6</v>
      </c>
      <c r="G134" s="160"/>
      <c r="H134" s="160"/>
      <c r="I134" s="162"/>
    </row>
    <row r="135" spans="1:12" s="70" customFormat="1" ht="13.5" customHeight="1">
      <c r="A135" s="161"/>
      <c r="B135" s="43"/>
      <c r="C135" s="43"/>
      <c r="D135" s="43" t="s">
        <v>627</v>
      </c>
      <c r="E135" s="43"/>
      <c r="F135" s="44">
        <v>9.8000000000000007</v>
      </c>
      <c r="G135" s="160"/>
      <c r="H135" s="160"/>
      <c r="I135" s="162"/>
    </row>
    <row r="136" spans="1:12" s="70" customFormat="1" ht="13.5" customHeight="1">
      <c r="A136" s="161"/>
      <c r="B136" s="43"/>
      <c r="C136" s="43"/>
      <c r="D136" s="43" t="s">
        <v>655</v>
      </c>
      <c r="E136" s="43"/>
      <c r="F136" s="44">
        <v>17.2</v>
      </c>
      <c r="G136" s="160"/>
      <c r="H136" s="160"/>
      <c r="I136" s="162"/>
    </row>
    <row r="137" spans="1:12" s="70" customFormat="1" ht="13.5" customHeight="1">
      <c r="A137" s="161"/>
      <c r="B137" s="43"/>
      <c r="C137" s="43"/>
      <c r="D137" s="43" t="s">
        <v>720</v>
      </c>
      <c r="E137" s="43"/>
      <c r="F137" s="44">
        <v>9.6999999999999993</v>
      </c>
      <c r="G137" s="160"/>
      <c r="H137" s="160"/>
      <c r="I137" s="162"/>
    </row>
    <row r="138" spans="1:12" s="70" customFormat="1" ht="13.5" customHeight="1">
      <c r="A138" s="158">
        <v>41</v>
      </c>
      <c r="B138" s="130">
        <v>342</v>
      </c>
      <c r="C138" s="130">
        <v>342272225</v>
      </c>
      <c r="D138" s="130" t="s">
        <v>532</v>
      </c>
      <c r="E138" s="130" t="s">
        <v>21</v>
      </c>
      <c r="F138" s="159">
        <f>F139</f>
        <v>0.6</v>
      </c>
      <c r="G138" s="155"/>
      <c r="H138" s="155">
        <f>F138*G138</f>
        <v>0</v>
      </c>
      <c r="I138" s="42" t="s">
        <v>105</v>
      </c>
    </row>
    <row r="139" spans="1:12" s="70" customFormat="1" ht="13.5" customHeight="1">
      <c r="A139" s="161"/>
      <c r="B139" s="43"/>
      <c r="C139" s="43"/>
      <c r="D139" s="43" t="s">
        <v>529</v>
      </c>
      <c r="E139" s="43"/>
      <c r="F139" s="44">
        <v>0.6</v>
      </c>
      <c r="G139" s="160"/>
      <c r="H139" s="160"/>
      <c r="I139" s="162"/>
    </row>
    <row r="140" spans="1:12" s="2" customFormat="1" ht="13.5" customHeight="1">
      <c r="A140" s="5"/>
      <c r="B140" s="6"/>
      <c r="C140" s="6">
        <v>4</v>
      </c>
      <c r="D140" s="6" t="s">
        <v>36</v>
      </c>
      <c r="E140" s="6"/>
      <c r="F140" s="7"/>
      <c r="G140" s="8"/>
      <c r="H140" s="8">
        <f>SUM(H141:H207)+H212</f>
        <v>0</v>
      </c>
      <c r="I140" s="11"/>
      <c r="J140" s="12"/>
      <c r="K140" s="12"/>
      <c r="L140" s="12"/>
    </row>
    <row r="141" spans="1:12" s="12" customFormat="1" ht="13.5" customHeight="1">
      <c r="A141" s="158">
        <v>42</v>
      </c>
      <c r="B141" s="130">
        <v>411</v>
      </c>
      <c r="C141" s="130">
        <v>411321414</v>
      </c>
      <c r="D141" s="130" t="s">
        <v>821</v>
      </c>
      <c r="E141" s="130" t="s">
        <v>27</v>
      </c>
      <c r="F141" s="163">
        <f>SUM(F142:F143)</f>
        <v>3.9683437500000003</v>
      </c>
      <c r="G141" s="155"/>
      <c r="H141" s="155">
        <f>F141*G141</f>
        <v>0</v>
      </c>
      <c r="I141" s="42" t="s">
        <v>105</v>
      </c>
    </row>
    <row r="142" spans="1:12" s="2" customFormat="1" ht="13.5" customHeight="1">
      <c r="A142" s="158"/>
      <c r="B142" s="130"/>
      <c r="C142" s="130"/>
      <c r="D142" s="43" t="s">
        <v>843</v>
      </c>
      <c r="E142" s="130"/>
      <c r="F142" s="44">
        <f>(2.45*1.85*0.25+2.9*3.65*0.25)*1.05</f>
        <v>3.9683437500000003</v>
      </c>
      <c r="G142" s="155"/>
      <c r="H142" s="155"/>
      <c r="I142" s="42"/>
    </row>
    <row r="143" spans="1:12" s="2" customFormat="1" ht="23.25" customHeight="1">
      <c r="A143" s="164"/>
      <c r="B143" s="132"/>
      <c r="C143" s="132"/>
      <c r="D143" s="43" t="s">
        <v>343</v>
      </c>
      <c r="E143" s="132"/>
      <c r="F143" s="165"/>
      <c r="G143" s="166"/>
      <c r="H143" s="155"/>
      <c r="I143" s="42"/>
    </row>
    <row r="144" spans="1:12" s="2" customFormat="1" ht="13.5" customHeight="1">
      <c r="A144" s="158">
        <v>43</v>
      </c>
      <c r="B144" s="130">
        <v>411</v>
      </c>
      <c r="C144" s="130">
        <v>411351011</v>
      </c>
      <c r="D144" s="130" t="s">
        <v>839</v>
      </c>
      <c r="E144" s="130" t="s">
        <v>21</v>
      </c>
      <c r="F144" s="159">
        <f>SUM(F145:F145)</f>
        <v>20.5425</v>
      </c>
      <c r="G144" s="155"/>
      <c r="H144" s="155">
        <f>F144*G144</f>
        <v>0</v>
      </c>
      <c r="I144" s="42" t="s">
        <v>105</v>
      </c>
    </row>
    <row r="145" spans="1:9" s="126" customFormat="1" ht="24.75" customHeight="1">
      <c r="A145" s="161"/>
      <c r="B145" s="43"/>
      <c r="C145" s="43"/>
      <c r="D145" s="43" t="s">
        <v>844</v>
      </c>
      <c r="E145" s="43"/>
      <c r="F145" s="44">
        <f>2.45*1.85+2.9*3.65+(2.45*2+1.85*2+2.9*2+3.65*2)*0.25</f>
        <v>20.5425</v>
      </c>
      <c r="G145" s="160"/>
      <c r="H145" s="160"/>
      <c r="I145" s="162"/>
    </row>
    <row r="146" spans="1:9" s="2" customFormat="1" ht="13.5" customHeight="1">
      <c r="A146" s="158">
        <v>44</v>
      </c>
      <c r="B146" s="130">
        <v>411</v>
      </c>
      <c r="C146" s="130">
        <v>411351012</v>
      </c>
      <c r="D146" s="130" t="s">
        <v>840</v>
      </c>
      <c r="E146" s="130" t="s">
        <v>21</v>
      </c>
      <c r="F146" s="159">
        <f>F144</f>
        <v>20.5425</v>
      </c>
      <c r="G146" s="155"/>
      <c r="H146" s="155">
        <f>F146*G146</f>
        <v>0</v>
      </c>
      <c r="I146" s="42" t="s">
        <v>105</v>
      </c>
    </row>
    <row r="147" spans="1:9" s="2" customFormat="1" ht="13.5" customHeight="1">
      <c r="A147" s="158">
        <v>45</v>
      </c>
      <c r="B147" s="130">
        <v>411</v>
      </c>
      <c r="C147" s="130">
        <v>411354313</v>
      </c>
      <c r="D147" s="130" t="s">
        <v>841</v>
      </c>
      <c r="E147" s="130" t="s">
        <v>21</v>
      </c>
      <c r="F147" s="159">
        <f>SUM(F148:F148)</f>
        <v>15.1175</v>
      </c>
      <c r="G147" s="155"/>
      <c r="H147" s="155">
        <f>F147*G147</f>
        <v>0</v>
      </c>
      <c r="I147" s="42" t="s">
        <v>105</v>
      </c>
    </row>
    <row r="148" spans="1:9" s="126" customFormat="1" ht="13.5" customHeight="1">
      <c r="A148" s="161"/>
      <c r="B148" s="43"/>
      <c r="C148" s="43"/>
      <c r="D148" s="43" t="s">
        <v>845</v>
      </c>
      <c r="E148" s="43"/>
      <c r="F148" s="44">
        <f xml:space="preserve"> 2.45*1.85+2.9*3.65</f>
        <v>15.1175</v>
      </c>
      <c r="G148" s="160"/>
      <c r="H148" s="160"/>
      <c r="I148" s="162"/>
    </row>
    <row r="149" spans="1:9" s="2" customFormat="1" ht="13.5" customHeight="1">
      <c r="A149" s="158">
        <v>46</v>
      </c>
      <c r="B149" s="130">
        <v>411</v>
      </c>
      <c r="C149" s="130">
        <v>411354314</v>
      </c>
      <c r="D149" s="130" t="s">
        <v>842</v>
      </c>
      <c r="E149" s="130" t="s">
        <v>21</v>
      </c>
      <c r="F149" s="159">
        <f>F147</f>
        <v>15.1175</v>
      </c>
      <c r="G149" s="155"/>
      <c r="H149" s="155">
        <f>F149*G149</f>
        <v>0</v>
      </c>
      <c r="I149" s="42" t="s">
        <v>105</v>
      </c>
    </row>
    <row r="150" spans="1:9" s="2" customFormat="1" ht="13.5" customHeight="1">
      <c r="A150" s="158">
        <v>47</v>
      </c>
      <c r="B150" s="130">
        <v>411</v>
      </c>
      <c r="C150" s="130">
        <v>411361821</v>
      </c>
      <c r="D150" s="130" t="s">
        <v>820</v>
      </c>
      <c r="E150" s="130" t="s">
        <v>35</v>
      </c>
      <c r="F150" s="159">
        <f>F151</f>
        <v>0.75619047619047619</v>
      </c>
      <c r="G150" s="155"/>
      <c r="H150" s="155">
        <f>F150*G150</f>
        <v>0</v>
      </c>
      <c r="I150" s="42" t="s">
        <v>105</v>
      </c>
    </row>
    <row r="151" spans="1:9" s="126" customFormat="1" ht="13.5" customHeight="1">
      <c r="A151" s="161"/>
      <c r="B151" s="43"/>
      <c r="C151" s="43"/>
      <c r="D151" s="43" t="s">
        <v>846</v>
      </c>
      <c r="E151" s="43"/>
      <c r="F151" s="44">
        <f>(3.97/1.05)*0.2</f>
        <v>0.75619047619047619</v>
      </c>
      <c r="G151" s="160"/>
      <c r="H151" s="160"/>
      <c r="I151" s="162"/>
    </row>
    <row r="152" spans="1:9" s="70" customFormat="1" ht="13.5" customHeight="1">
      <c r="A152" s="158">
        <v>48</v>
      </c>
      <c r="B152" s="130">
        <v>417</v>
      </c>
      <c r="C152" s="130">
        <v>417321515</v>
      </c>
      <c r="D152" s="130" t="s">
        <v>789</v>
      </c>
      <c r="E152" s="130" t="s">
        <v>27</v>
      </c>
      <c r="F152" s="163">
        <f>SUM(F153:F177)</f>
        <v>15.595846874999999</v>
      </c>
      <c r="G152" s="155"/>
      <c r="H152" s="155">
        <f>F152*G152</f>
        <v>0</v>
      </c>
      <c r="I152" s="42" t="s">
        <v>105</v>
      </c>
    </row>
    <row r="153" spans="1:9" s="70" customFormat="1" ht="13.5" customHeight="1">
      <c r="A153" s="158"/>
      <c r="B153" s="130"/>
      <c r="C153" s="130"/>
      <c r="D153" s="43" t="s">
        <v>572</v>
      </c>
      <c r="E153" s="130"/>
      <c r="F153" s="44">
        <f>(5.575*0.25*0.25)*1.05</f>
        <v>0.36585937500000004</v>
      </c>
      <c r="G153" s="155"/>
      <c r="H153" s="155"/>
      <c r="I153" s="42"/>
    </row>
    <row r="154" spans="1:9" s="70" customFormat="1" ht="13.5" customHeight="1">
      <c r="A154" s="158"/>
      <c r="B154" s="130"/>
      <c r="C154" s="130"/>
      <c r="D154" s="43" t="s">
        <v>571</v>
      </c>
      <c r="E154" s="130"/>
      <c r="F154" s="44">
        <f>(5.575*0.25*0.25)*1.05</f>
        <v>0.36585937500000004</v>
      </c>
      <c r="G154" s="155"/>
      <c r="H154" s="155"/>
      <c r="I154" s="42"/>
    </row>
    <row r="155" spans="1:9" s="70" customFormat="1" ht="13.5" customHeight="1">
      <c r="A155" s="158"/>
      <c r="B155" s="130"/>
      <c r="C155" s="130"/>
      <c r="D155" s="43" t="s">
        <v>635</v>
      </c>
      <c r="E155" s="130"/>
      <c r="F155" s="44">
        <f>(5.575*0.25*0.25)*1.05</f>
        <v>0.36585937500000004</v>
      </c>
      <c r="G155" s="155"/>
      <c r="H155" s="155"/>
      <c r="I155" s="42"/>
    </row>
    <row r="156" spans="1:9" s="70" customFormat="1" ht="13.5" customHeight="1">
      <c r="A156" s="158"/>
      <c r="B156" s="130"/>
      <c r="C156" s="130"/>
      <c r="D156" s="43" t="s">
        <v>684</v>
      </c>
      <c r="E156" s="130"/>
      <c r="F156" s="44">
        <f>(5.775*0.25*0.25)*1.05</f>
        <v>0.37898437500000004</v>
      </c>
      <c r="G156" s="155"/>
      <c r="H156" s="155"/>
      <c r="I156" s="42"/>
    </row>
    <row r="157" spans="1:9" s="70" customFormat="1" ht="13.5" customHeight="1">
      <c r="A157" s="158"/>
      <c r="B157" s="130"/>
      <c r="C157" s="130"/>
      <c r="D157" s="43" t="s">
        <v>735</v>
      </c>
      <c r="E157" s="130"/>
      <c r="F157" s="44">
        <f>(5.775*0.25*0.25)*1.05</f>
        <v>0.37898437500000004</v>
      </c>
      <c r="G157" s="155"/>
      <c r="H157" s="155"/>
      <c r="I157" s="42"/>
    </row>
    <row r="158" spans="1:9" s="70" customFormat="1" ht="13.5" customHeight="1">
      <c r="A158" s="158"/>
      <c r="B158" s="130"/>
      <c r="C158" s="130"/>
      <c r="D158" s="43" t="s">
        <v>569</v>
      </c>
      <c r="E158" s="130"/>
      <c r="F158" s="44">
        <f>0.04*1.05</f>
        <v>4.2000000000000003E-2</v>
      </c>
      <c r="G158" s="155"/>
      <c r="H158" s="155"/>
      <c r="I158" s="42"/>
    </row>
    <row r="159" spans="1:9" s="70" customFormat="1" ht="13.5" customHeight="1">
      <c r="A159" s="158"/>
      <c r="B159" s="130"/>
      <c r="C159" s="130"/>
      <c r="D159" s="43" t="s">
        <v>570</v>
      </c>
      <c r="E159" s="130"/>
      <c r="F159" s="44">
        <f>0.04*1.05</f>
        <v>4.2000000000000003E-2</v>
      </c>
      <c r="G159" s="155"/>
      <c r="H159" s="155"/>
      <c r="I159" s="42"/>
    </row>
    <row r="160" spans="1:9" s="70" customFormat="1" ht="13.5" customHeight="1">
      <c r="A160" s="158"/>
      <c r="B160" s="130"/>
      <c r="C160" s="130"/>
      <c r="D160" s="43" t="s">
        <v>636</v>
      </c>
      <c r="E160" s="130"/>
      <c r="F160" s="44">
        <f>0.04*1.05</f>
        <v>4.2000000000000003E-2</v>
      </c>
      <c r="G160" s="155"/>
      <c r="H160" s="155"/>
      <c r="I160" s="42"/>
    </row>
    <row r="161" spans="1:9" s="70" customFormat="1" ht="13.5" customHeight="1">
      <c r="A161" s="158"/>
      <c r="B161" s="130"/>
      <c r="C161" s="130"/>
      <c r="D161" s="43" t="s">
        <v>769</v>
      </c>
      <c r="E161" s="130"/>
      <c r="F161" s="44">
        <f>(0.3*0.3*0.3)*2*1.05</f>
        <v>5.67E-2</v>
      </c>
      <c r="G161" s="155"/>
      <c r="H161" s="155"/>
      <c r="I161" s="42"/>
    </row>
    <row r="162" spans="1:9" s="70" customFormat="1" ht="13.5" customHeight="1">
      <c r="A162" s="158"/>
      <c r="B162" s="130"/>
      <c r="C162" s="130"/>
      <c r="D162" s="43" t="s">
        <v>770</v>
      </c>
      <c r="E162" s="130"/>
      <c r="F162" s="44">
        <f>(0.3*0.3*0.3)*28*1.05</f>
        <v>0.79380000000000006</v>
      </c>
      <c r="G162" s="155"/>
      <c r="H162" s="155"/>
      <c r="I162" s="42"/>
    </row>
    <row r="163" spans="1:9" s="70" customFormat="1" ht="27.75" customHeight="1">
      <c r="A163" s="158"/>
      <c r="B163" s="130"/>
      <c r="C163" s="130"/>
      <c r="D163" s="43" t="s">
        <v>771</v>
      </c>
      <c r="E163" s="130"/>
      <c r="F163" s="44">
        <f>(0.3*0.3*0.3)*8*1.05+7.1*0.4*0.3*1.05+6.7*0.3*0.3*1.05</f>
        <v>1.7545499999999998</v>
      </c>
      <c r="G163" s="155"/>
      <c r="H163" s="155"/>
      <c r="I163" s="42"/>
    </row>
    <row r="164" spans="1:9" s="70" customFormat="1" ht="13.5" customHeight="1">
      <c r="A164" s="158"/>
      <c r="B164" s="130"/>
      <c r="C164" s="130"/>
      <c r="D164" s="43" t="s">
        <v>773</v>
      </c>
      <c r="E164" s="130"/>
      <c r="F164" s="44">
        <f>(0.15*0.6*0.3)*4*1.05</f>
        <v>0.1134</v>
      </c>
      <c r="G164" s="155"/>
      <c r="H164" s="155"/>
      <c r="I164" s="42"/>
    </row>
    <row r="165" spans="1:9" s="70" customFormat="1" ht="13.5" customHeight="1">
      <c r="A165" s="158"/>
      <c r="B165" s="130"/>
      <c r="C165" s="130"/>
      <c r="D165" s="43" t="s">
        <v>772</v>
      </c>
      <c r="E165" s="130"/>
      <c r="F165" s="44">
        <f>(0.3*0.3*0.3)*28*1.05</f>
        <v>0.79380000000000006</v>
      </c>
      <c r="G165" s="155"/>
      <c r="H165" s="155"/>
      <c r="I165" s="42"/>
    </row>
    <row r="166" spans="1:9" s="70" customFormat="1" ht="24" customHeight="1">
      <c r="A166" s="158"/>
      <c r="B166" s="130"/>
      <c r="C166" s="130"/>
      <c r="D166" s="43" t="s">
        <v>774</v>
      </c>
      <c r="E166" s="130"/>
      <c r="F166" s="44">
        <f>(0.3*0.3*0.3)*8*1.05+13.6*0.3*0.3*1.05</f>
        <v>1.512</v>
      </c>
      <c r="G166" s="155"/>
      <c r="H166" s="155"/>
      <c r="I166" s="42"/>
    </row>
    <row r="167" spans="1:9" s="70" customFormat="1" ht="13.5" customHeight="1">
      <c r="A167" s="158"/>
      <c r="B167" s="130"/>
      <c r="C167" s="130"/>
      <c r="D167" s="43" t="s">
        <v>775</v>
      </c>
      <c r="E167" s="130"/>
      <c r="F167" s="44">
        <f>(0.15*0.6*0.3)*8*1.05</f>
        <v>0.2268</v>
      </c>
      <c r="G167" s="155"/>
      <c r="H167" s="155"/>
      <c r="I167" s="42"/>
    </row>
    <row r="168" spans="1:9" s="70" customFormat="1" ht="13.5" customHeight="1">
      <c r="A168" s="158"/>
      <c r="B168" s="130"/>
      <c r="C168" s="130"/>
      <c r="D168" s="43" t="s">
        <v>776</v>
      </c>
      <c r="E168" s="130"/>
      <c r="F168" s="44">
        <f>(0.3*0.3*0.3)*28*1.05</f>
        <v>0.79380000000000006</v>
      </c>
      <c r="G168" s="155"/>
      <c r="H168" s="155"/>
      <c r="I168" s="42"/>
    </row>
    <row r="169" spans="1:9" s="70" customFormat="1" ht="24" customHeight="1">
      <c r="A169" s="158"/>
      <c r="B169" s="130"/>
      <c r="C169" s="130"/>
      <c r="D169" s="43" t="s">
        <v>777</v>
      </c>
      <c r="E169" s="130"/>
      <c r="F169" s="44">
        <f>(0.3*0.3*0.3)*16*1.05+28*0.3*0.3*1.05</f>
        <v>3.0996000000000006</v>
      </c>
      <c r="G169" s="155"/>
      <c r="H169" s="155"/>
      <c r="I169" s="42"/>
    </row>
    <row r="170" spans="1:9" s="70" customFormat="1" ht="13.5" customHeight="1">
      <c r="A170" s="158"/>
      <c r="B170" s="130"/>
      <c r="C170" s="130"/>
      <c r="D170" s="43" t="s">
        <v>778</v>
      </c>
      <c r="E170" s="130"/>
      <c r="F170" s="44">
        <f>(0.15*0.6*0.3)*8*1.05</f>
        <v>0.2268</v>
      </c>
      <c r="G170" s="155"/>
      <c r="H170" s="155"/>
      <c r="I170" s="42"/>
    </row>
    <row r="171" spans="1:9" s="70" customFormat="1" ht="13.5" customHeight="1">
      <c r="A171" s="158"/>
      <c r="B171" s="130"/>
      <c r="C171" s="130"/>
      <c r="D171" s="43" t="s">
        <v>779</v>
      </c>
      <c r="E171" s="130"/>
      <c r="F171" s="44">
        <f>(0.3*0.3*0.3)*6*1.05</f>
        <v>0.1701</v>
      </c>
      <c r="G171" s="155"/>
      <c r="H171" s="155"/>
      <c r="I171" s="42"/>
    </row>
    <row r="172" spans="1:9" s="70" customFormat="1" ht="13.5" customHeight="1">
      <c r="A172" s="158"/>
      <c r="B172" s="130"/>
      <c r="C172" s="130"/>
      <c r="D172" s="43" t="s">
        <v>780</v>
      </c>
      <c r="E172" s="130"/>
      <c r="F172" s="44">
        <f>(0.3*0.3*0.3)*51*1.05</f>
        <v>1.4458500000000001</v>
      </c>
      <c r="G172" s="155"/>
      <c r="H172" s="155"/>
      <c r="I172" s="42"/>
    </row>
    <row r="173" spans="1:9" s="70" customFormat="1" ht="24" customHeight="1">
      <c r="A173" s="158"/>
      <c r="B173" s="130"/>
      <c r="C173" s="130"/>
      <c r="D173" s="43" t="s">
        <v>781</v>
      </c>
      <c r="E173" s="130"/>
      <c r="F173" s="44">
        <f>(0.3*0.3*0.3)*4*1.05+7.4*0.3*0.3*1.05</f>
        <v>0.81269999999999998</v>
      </c>
      <c r="G173" s="155"/>
      <c r="H173" s="155"/>
      <c r="I173" s="42"/>
    </row>
    <row r="174" spans="1:9" s="70" customFormat="1" ht="13.5" customHeight="1">
      <c r="A174" s="158"/>
      <c r="B174" s="130"/>
      <c r="C174" s="130"/>
      <c r="D174" s="43" t="s">
        <v>782</v>
      </c>
      <c r="E174" s="130"/>
      <c r="F174" s="44">
        <f>(0.15*0.6*0.3)*2*1.05</f>
        <v>5.67E-2</v>
      </c>
      <c r="G174" s="155"/>
      <c r="H174" s="155"/>
      <c r="I174" s="42"/>
    </row>
    <row r="175" spans="1:9" s="70" customFormat="1" ht="13.5" customHeight="1">
      <c r="A175" s="158"/>
      <c r="B175" s="130"/>
      <c r="C175" s="130"/>
      <c r="D175" s="43" t="s">
        <v>783</v>
      </c>
      <c r="E175" s="130"/>
      <c r="F175" s="44">
        <f>(0.3*0.3*0.3)*30*1.05</f>
        <v>0.85049999999999992</v>
      </c>
      <c r="G175" s="155"/>
      <c r="H175" s="155"/>
      <c r="I175" s="42"/>
    </row>
    <row r="176" spans="1:9" s="70" customFormat="1" ht="13.5" customHeight="1">
      <c r="A176" s="158"/>
      <c r="B176" s="130"/>
      <c r="C176" s="130"/>
      <c r="D176" s="43" t="s">
        <v>784</v>
      </c>
      <c r="E176" s="130"/>
      <c r="F176" s="44">
        <f>(0.3*0.3*0.3)*32*1.05</f>
        <v>0.90720000000000001</v>
      </c>
      <c r="G176" s="155"/>
      <c r="H176" s="155"/>
      <c r="I176" s="42"/>
    </row>
    <row r="177" spans="1:12" s="70" customFormat="1" ht="27" customHeight="1">
      <c r="A177" s="158"/>
      <c r="B177" s="132"/>
      <c r="C177" s="132"/>
      <c r="D177" s="43" t="s">
        <v>343</v>
      </c>
      <c r="E177" s="132"/>
      <c r="F177" s="165"/>
      <c r="G177" s="166"/>
      <c r="H177" s="155"/>
      <c r="I177" s="42"/>
    </row>
    <row r="178" spans="1:12" s="70" customFormat="1" ht="13.5" customHeight="1">
      <c r="A178" s="158">
        <v>49</v>
      </c>
      <c r="B178" s="130">
        <v>411</v>
      </c>
      <c r="C178" s="130">
        <v>417351115</v>
      </c>
      <c r="D178" s="130" t="s">
        <v>344</v>
      </c>
      <c r="E178" s="130" t="s">
        <v>21</v>
      </c>
      <c r="F178" s="159">
        <f>F179+F180+F181+F182+F183</f>
        <v>14.137499999999999</v>
      </c>
      <c r="G178" s="155"/>
      <c r="H178" s="155">
        <f>F178*G178</f>
        <v>0</v>
      </c>
      <c r="I178" s="42" t="s">
        <v>105</v>
      </c>
    </row>
    <row r="179" spans="1:12" s="70" customFormat="1" ht="13.5" customHeight="1">
      <c r="A179" s="158"/>
      <c r="B179" s="43"/>
      <c r="C179" s="43"/>
      <c r="D179" s="43" t="s">
        <v>573</v>
      </c>
      <c r="E179" s="43"/>
      <c r="F179" s="44">
        <f>5.575*0.25*2</f>
        <v>2.7875000000000001</v>
      </c>
      <c r="G179" s="160"/>
      <c r="H179" s="160"/>
      <c r="I179" s="162"/>
    </row>
    <row r="180" spans="1:12" s="70" customFormat="1" ht="13.5" customHeight="1">
      <c r="A180" s="158"/>
      <c r="B180" s="43"/>
      <c r="C180" s="43"/>
      <c r="D180" s="43" t="s">
        <v>574</v>
      </c>
      <c r="E180" s="43"/>
      <c r="F180" s="44">
        <f>5.575*0.25*2</f>
        <v>2.7875000000000001</v>
      </c>
      <c r="G180" s="160"/>
      <c r="H180" s="160"/>
      <c r="I180" s="162"/>
    </row>
    <row r="181" spans="1:12" s="70" customFormat="1" ht="13.5" customHeight="1">
      <c r="A181" s="158"/>
      <c r="B181" s="43"/>
      <c r="C181" s="43"/>
      <c r="D181" s="43" t="s">
        <v>637</v>
      </c>
      <c r="E181" s="43"/>
      <c r="F181" s="44">
        <f>5.575*0.25*2</f>
        <v>2.7875000000000001</v>
      </c>
      <c r="G181" s="160"/>
      <c r="H181" s="160"/>
      <c r="I181" s="162"/>
    </row>
    <row r="182" spans="1:12" s="70" customFormat="1" ht="13.5" customHeight="1">
      <c r="A182" s="158"/>
      <c r="B182" s="43"/>
      <c r="C182" s="43"/>
      <c r="D182" s="43" t="s">
        <v>736</v>
      </c>
      <c r="E182" s="43"/>
      <c r="F182" s="44">
        <f>5.775*0.25*2</f>
        <v>2.8875000000000002</v>
      </c>
      <c r="G182" s="160"/>
      <c r="H182" s="160"/>
      <c r="I182" s="162"/>
    </row>
    <row r="183" spans="1:12" s="70" customFormat="1" ht="13.5" customHeight="1">
      <c r="A183" s="158"/>
      <c r="B183" s="43"/>
      <c r="C183" s="43"/>
      <c r="D183" s="43" t="s">
        <v>737</v>
      </c>
      <c r="E183" s="43"/>
      <c r="F183" s="44">
        <f>5.775*0.25*2</f>
        <v>2.8875000000000002</v>
      </c>
      <c r="G183" s="160"/>
      <c r="H183" s="160"/>
      <c r="I183" s="162"/>
    </row>
    <row r="184" spans="1:12" s="70" customFormat="1" ht="13.5" customHeight="1">
      <c r="A184" s="158">
        <v>50</v>
      </c>
      <c r="B184" s="130">
        <v>411</v>
      </c>
      <c r="C184" s="130">
        <v>417351116</v>
      </c>
      <c r="D184" s="130" t="s">
        <v>345</v>
      </c>
      <c r="E184" s="130" t="s">
        <v>21</v>
      </c>
      <c r="F184" s="159">
        <f>F178</f>
        <v>14.137499999999999</v>
      </c>
      <c r="G184" s="155"/>
      <c r="H184" s="155">
        <f>F184*G184</f>
        <v>0</v>
      </c>
      <c r="I184" s="42" t="s">
        <v>105</v>
      </c>
    </row>
    <row r="185" spans="1:12" s="2" customFormat="1" ht="13.5" customHeight="1">
      <c r="A185" s="158">
        <v>51</v>
      </c>
      <c r="B185" s="130">
        <v>417</v>
      </c>
      <c r="C185" s="130">
        <v>417361821</v>
      </c>
      <c r="D185" s="130" t="s">
        <v>346</v>
      </c>
      <c r="E185" s="130" t="s">
        <v>35</v>
      </c>
      <c r="F185" s="159">
        <f>F186+F187</f>
        <v>0.28307812500000001</v>
      </c>
      <c r="G185" s="155"/>
      <c r="H185" s="155">
        <f>F185*G185</f>
        <v>0</v>
      </c>
      <c r="I185" s="42" t="s">
        <v>105</v>
      </c>
      <c r="J185" s="12"/>
      <c r="K185" s="12"/>
      <c r="L185" s="12"/>
    </row>
    <row r="186" spans="1:12" s="126" customFormat="1" ht="27" customHeight="1">
      <c r="A186" s="161"/>
      <c r="B186" s="43"/>
      <c r="C186" s="43"/>
      <c r="D186" s="43" t="s">
        <v>814</v>
      </c>
      <c r="E186" s="43"/>
      <c r="F186" s="44">
        <f>(5.575*0.25*0.25)*0.15*3+(5.775*0.25*0.25)*0.15*2</f>
        <v>0.265078125</v>
      </c>
      <c r="G186" s="160"/>
      <c r="H186" s="160"/>
      <c r="I186" s="162"/>
      <c r="J186" s="125"/>
      <c r="K186" s="125"/>
      <c r="L186" s="125"/>
    </row>
    <row r="187" spans="1:12" s="126" customFormat="1" ht="27" customHeight="1">
      <c r="A187" s="161"/>
      <c r="B187" s="43"/>
      <c r="C187" s="43"/>
      <c r="D187" s="43" t="s">
        <v>815</v>
      </c>
      <c r="E187" s="43"/>
      <c r="F187" s="44">
        <f>0.04*0.15*3</f>
        <v>1.8000000000000002E-2</v>
      </c>
      <c r="G187" s="160"/>
      <c r="H187" s="160"/>
      <c r="I187" s="162"/>
      <c r="J187" s="125"/>
      <c r="K187" s="125"/>
      <c r="L187" s="125"/>
    </row>
    <row r="188" spans="1:12" s="70" customFormat="1" ht="13.5" customHeight="1">
      <c r="A188" s="158">
        <v>52</v>
      </c>
      <c r="B188" s="131" t="s">
        <v>395</v>
      </c>
      <c r="C188" s="130" t="s">
        <v>402</v>
      </c>
      <c r="D188" s="130" t="s">
        <v>796</v>
      </c>
      <c r="E188" s="130" t="s">
        <v>27</v>
      </c>
      <c r="F188" s="159">
        <f>SUM(F189:F189)</f>
        <v>2.4160499999999998</v>
      </c>
      <c r="G188" s="155"/>
      <c r="H188" s="155">
        <f>F188*G188</f>
        <v>0</v>
      </c>
      <c r="I188" s="42" t="s">
        <v>109</v>
      </c>
    </row>
    <row r="189" spans="1:12" s="70" customFormat="1" ht="25.5" customHeight="1">
      <c r="A189" s="158"/>
      <c r="B189" s="131"/>
      <c r="C189" s="130"/>
      <c r="D189" s="43" t="s">
        <v>533</v>
      </c>
      <c r="E189" s="130"/>
      <c r="F189" s="44">
        <f>1.5*0.25*(0.4+1.3)*1.05+2.4*0.36*1.5*1.05+((2.1*1.4)/2)*0.25*1.05</f>
        <v>2.4160499999999998</v>
      </c>
      <c r="G189" s="155"/>
      <c r="H189" s="155"/>
      <c r="I189" s="11"/>
    </row>
    <row r="190" spans="1:12" s="70" customFormat="1" ht="27" customHeight="1">
      <c r="A190" s="158"/>
      <c r="B190" s="131"/>
      <c r="C190" s="130"/>
      <c r="D190" s="43" t="s">
        <v>396</v>
      </c>
      <c r="E190" s="130"/>
      <c r="F190" s="44"/>
      <c r="G190" s="155"/>
      <c r="H190" s="155"/>
      <c r="I190" s="11"/>
    </row>
    <row r="191" spans="1:12" s="70" customFormat="1" ht="13.5" customHeight="1">
      <c r="A191" s="158">
        <v>53</v>
      </c>
      <c r="B191" s="131" t="s">
        <v>400</v>
      </c>
      <c r="C191" s="130">
        <v>430361821</v>
      </c>
      <c r="D191" s="130" t="s">
        <v>401</v>
      </c>
      <c r="E191" s="130" t="s">
        <v>35</v>
      </c>
      <c r="F191" s="159">
        <f>F192</f>
        <v>0.57619047619047614</v>
      </c>
      <c r="G191" s="155"/>
      <c r="H191" s="155">
        <f>F191*G191</f>
        <v>0</v>
      </c>
      <c r="I191" s="42" t="s">
        <v>105</v>
      </c>
    </row>
    <row r="192" spans="1:12" s="70" customFormat="1" ht="27" customHeight="1">
      <c r="A192" s="158"/>
      <c r="B192" s="131"/>
      <c r="C192" s="130"/>
      <c r="D192" s="43" t="s">
        <v>816</v>
      </c>
      <c r="E192" s="130"/>
      <c r="F192" s="44">
        <f>(2.42/1.05)*0.25</f>
        <v>0.57619047619047614</v>
      </c>
      <c r="G192" s="155"/>
      <c r="H192" s="155"/>
      <c r="I192" s="11"/>
    </row>
    <row r="193" spans="1:18" s="70" customFormat="1" ht="13.5" customHeight="1">
      <c r="A193" s="158">
        <v>54</v>
      </c>
      <c r="B193" s="131" t="s">
        <v>397</v>
      </c>
      <c r="C193" s="130">
        <v>431351121</v>
      </c>
      <c r="D193" s="130" t="s">
        <v>403</v>
      </c>
      <c r="E193" s="130" t="s">
        <v>21</v>
      </c>
      <c r="F193" s="159">
        <f>SUM(F194:F194)</f>
        <v>8.2679999999999989</v>
      </c>
      <c r="G193" s="155"/>
      <c r="H193" s="155">
        <f>F193*G193</f>
        <v>0</v>
      </c>
      <c r="I193" s="42" t="s">
        <v>105</v>
      </c>
    </row>
    <row r="194" spans="1:18" s="70" customFormat="1" ht="13.5" customHeight="1">
      <c r="A194" s="158"/>
      <c r="B194" s="131"/>
      <c r="C194" s="130"/>
      <c r="D194" s="43" t="s">
        <v>534</v>
      </c>
      <c r="E194" s="130"/>
      <c r="F194" s="44">
        <f>2.4*1.5+2.4*2*0.36+((2.1*1.4)/2)*2</f>
        <v>8.2679999999999989</v>
      </c>
      <c r="G194" s="155"/>
      <c r="H194" s="155"/>
      <c r="I194" s="11"/>
    </row>
    <row r="195" spans="1:18" s="70" customFormat="1" ht="14.25" customHeight="1">
      <c r="A195" s="158">
        <v>55</v>
      </c>
      <c r="B195" s="131" t="s">
        <v>397</v>
      </c>
      <c r="C195" s="130">
        <v>431351122</v>
      </c>
      <c r="D195" s="130" t="s">
        <v>404</v>
      </c>
      <c r="E195" s="130" t="s">
        <v>21</v>
      </c>
      <c r="F195" s="159">
        <f>F193</f>
        <v>8.2679999999999989</v>
      </c>
      <c r="G195" s="155"/>
      <c r="H195" s="155">
        <f>F195*G195</f>
        <v>0</v>
      </c>
      <c r="I195" s="42" t="s">
        <v>105</v>
      </c>
    </row>
    <row r="196" spans="1:18" s="70" customFormat="1" ht="13.5" customHeight="1">
      <c r="A196" s="158">
        <v>56</v>
      </c>
      <c r="B196" s="131" t="s">
        <v>397</v>
      </c>
      <c r="C196" s="130">
        <v>434351141</v>
      </c>
      <c r="D196" s="130" t="s">
        <v>398</v>
      </c>
      <c r="E196" s="130" t="s">
        <v>21</v>
      </c>
      <c r="F196" s="159">
        <f>SUM(F197:F197)</f>
        <v>2.0880000000000001</v>
      </c>
      <c r="G196" s="155"/>
      <c r="H196" s="155">
        <f>F196*G196</f>
        <v>0</v>
      </c>
      <c r="I196" s="42" t="s">
        <v>105</v>
      </c>
    </row>
    <row r="197" spans="1:18" s="70" customFormat="1" ht="13.5" customHeight="1">
      <c r="A197" s="158"/>
      <c r="B197" s="131"/>
      <c r="C197" s="130"/>
      <c r="D197" s="43" t="s">
        <v>405</v>
      </c>
      <c r="E197" s="130"/>
      <c r="F197" s="44">
        <f>1.5*0.174*8</f>
        <v>2.0880000000000001</v>
      </c>
      <c r="G197" s="155"/>
      <c r="H197" s="155"/>
      <c r="I197" s="11"/>
    </row>
    <row r="198" spans="1:18" s="70" customFormat="1" ht="14.25" customHeight="1">
      <c r="A198" s="158">
        <v>57</v>
      </c>
      <c r="B198" s="131" t="s">
        <v>397</v>
      </c>
      <c r="C198" s="130">
        <v>434351142</v>
      </c>
      <c r="D198" s="130" t="s">
        <v>399</v>
      </c>
      <c r="E198" s="130" t="s">
        <v>21</v>
      </c>
      <c r="F198" s="159">
        <f>F196</f>
        <v>2.0880000000000001</v>
      </c>
      <c r="G198" s="155"/>
      <c r="H198" s="155">
        <f>F198*G198</f>
        <v>0</v>
      </c>
      <c r="I198" s="42" t="s">
        <v>105</v>
      </c>
    </row>
    <row r="199" spans="1:18" s="2" customFormat="1" ht="13.5" customHeight="1">
      <c r="A199" s="158">
        <v>58</v>
      </c>
      <c r="B199" s="130">
        <v>451</v>
      </c>
      <c r="C199" s="130">
        <v>451315114</v>
      </c>
      <c r="D199" s="130" t="s">
        <v>365</v>
      </c>
      <c r="E199" s="130" t="s">
        <v>21</v>
      </c>
      <c r="F199" s="159">
        <f>F200+F201</f>
        <v>51.737499999999997</v>
      </c>
      <c r="G199" s="155"/>
      <c r="H199" s="155">
        <f>F199*G199</f>
        <v>0</v>
      </c>
      <c r="I199" s="42" t="s">
        <v>105</v>
      </c>
      <c r="J199" s="12"/>
      <c r="K199" s="12"/>
      <c r="L199" s="12"/>
    </row>
    <row r="200" spans="1:18" s="10" customFormat="1" ht="24.75" customHeight="1">
      <c r="A200" s="158"/>
      <c r="B200" s="131"/>
      <c r="C200" s="130"/>
      <c r="D200" s="43" t="s">
        <v>366</v>
      </c>
      <c r="E200" s="130"/>
      <c r="F200" s="44">
        <f>1.85*2.45+3.65*3.1+5.5*0.5</f>
        <v>18.5975</v>
      </c>
      <c r="G200" s="155"/>
      <c r="H200" s="155"/>
      <c r="I200" s="11"/>
      <c r="J200" s="9"/>
      <c r="K200" s="9"/>
      <c r="L200" s="9"/>
    </row>
    <row r="201" spans="1:18" s="10" customFormat="1" ht="13.5" customHeight="1">
      <c r="A201" s="158"/>
      <c r="B201" s="131"/>
      <c r="C201" s="130"/>
      <c r="D201" s="43" t="s">
        <v>388</v>
      </c>
      <c r="E201" s="130"/>
      <c r="F201" s="44">
        <f>(4.1+3.2+0.6+5.1)*1.5+3.1*4.4</f>
        <v>33.14</v>
      </c>
      <c r="G201" s="155"/>
      <c r="H201" s="155"/>
      <c r="I201" s="11"/>
      <c r="J201" s="9"/>
      <c r="K201" s="9"/>
      <c r="L201" s="9"/>
    </row>
    <row r="202" spans="1:18" s="12" customFormat="1" ht="13.5" customHeight="1">
      <c r="A202" s="158">
        <v>59</v>
      </c>
      <c r="B202" s="130">
        <v>411</v>
      </c>
      <c r="C202" s="130" t="s">
        <v>767</v>
      </c>
      <c r="D202" s="130" t="s">
        <v>883</v>
      </c>
      <c r="E202" s="130" t="s">
        <v>21</v>
      </c>
      <c r="F202" s="159">
        <f>F203+F204+F205+F206+F207</f>
        <v>403.4</v>
      </c>
      <c r="G202" s="167">
        <f>SUM(H208:H209)/F202</f>
        <v>0</v>
      </c>
      <c r="H202" s="155">
        <f>F202*G202</f>
        <v>0</v>
      </c>
      <c r="I202" s="42" t="s">
        <v>109</v>
      </c>
    </row>
    <row r="203" spans="1:18" s="12" customFormat="1" ht="13.5" customHeight="1">
      <c r="A203" s="158"/>
      <c r="B203" s="131"/>
      <c r="C203" s="130"/>
      <c r="D203" s="43" t="s">
        <v>576</v>
      </c>
      <c r="E203" s="130"/>
      <c r="F203" s="44">
        <f>47.8+32.3</f>
        <v>80.099999999999994</v>
      </c>
      <c r="G203" s="155"/>
      <c r="H203" s="155"/>
      <c r="I203" s="42"/>
    </row>
    <row r="204" spans="1:18" s="12" customFormat="1" ht="13.5" customHeight="1">
      <c r="A204" s="158"/>
      <c r="B204" s="131"/>
      <c r="C204" s="130"/>
      <c r="D204" s="43" t="s">
        <v>575</v>
      </c>
      <c r="E204" s="130"/>
      <c r="F204" s="44">
        <f>49.9+34.4</f>
        <v>84.3</v>
      </c>
      <c r="G204" s="155"/>
      <c r="H204" s="155"/>
      <c r="I204" s="42"/>
    </row>
    <row r="205" spans="1:18" s="12" customFormat="1" ht="13.5" customHeight="1">
      <c r="A205" s="158"/>
      <c r="B205" s="131"/>
      <c r="C205" s="130"/>
      <c r="D205" s="43" t="s">
        <v>607</v>
      </c>
      <c r="E205" s="130"/>
      <c r="F205" s="44">
        <f>50+34.6</f>
        <v>84.6</v>
      </c>
      <c r="G205" s="155"/>
      <c r="H205" s="155"/>
      <c r="I205" s="42"/>
    </row>
    <row r="206" spans="1:18" s="12" customFormat="1" ht="13.5" customHeight="1">
      <c r="A206" s="158"/>
      <c r="B206" s="131"/>
      <c r="C206" s="130"/>
      <c r="D206" s="43" t="s">
        <v>887</v>
      </c>
      <c r="E206" s="130"/>
      <c r="F206" s="44">
        <f>45.7+22.7+35.7+36.9+3.8+2.9</f>
        <v>147.70000000000002</v>
      </c>
      <c r="G206" s="155"/>
      <c r="H206" s="155"/>
      <c r="I206" s="42"/>
    </row>
    <row r="207" spans="1:18" s="12" customFormat="1" ht="13.5" customHeight="1">
      <c r="A207" s="158"/>
      <c r="B207" s="131"/>
      <c r="C207" s="130"/>
      <c r="D207" s="43" t="s">
        <v>886</v>
      </c>
      <c r="E207" s="130"/>
      <c r="F207" s="44">
        <f>3.8+2.9</f>
        <v>6.6999999999999993</v>
      </c>
      <c r="G207" s="155"/>
      <c r="H207" s="155"/>
      <c r="I207" s="42"/>
    </row>
    <row r="208" spans="1:18" s="12" customFormat="1" ht="13.5" customHeight="1">
      <c r="A208" s="107" t="s">
        <v>905</v>
      </c>
      <c r="B208" s="71"/>
      <c r="C208" s="71"/>
      <c r="D208" s="127" t="s">
        <v>888</v>
      </c>
      <c r="E208" s="114" t="s">
        <v>21</v>
      </c>
      <c r="F208" s="72">
        <v>443.8</v>
      </c>
      <c r="G208" s="67"/>
      <c r="H208" s="44">
        <f>F208*G208</f>
        <v>0</v>
      </c>
      <c r="I208" s="42"/>
      <c r="K208" s="115"/>
      <c r="L208" s="116"/>
      <c r="M208" s="116"/>
      <c r="N208" s="106"/>
      <c r="O208" s="116"/>
      <c r="P208" s="117"/>
      <c r="Q208" s="118"/>
      <c r="R208" s="119"/>
    </row>
    <row r="209" spans="1:25" s="12" customFormat="1" ht="25.5" customHeight="1">
      <c r="A209" s="107" t="s">
        <v>906</v>
      </c>
      <c r="B209" s="71"/>
      <c r="C209" s="71"/>
      <c r="D209" s="127" t="s">
        <v>889</v>
      </c>
      <c r="E209" s="114" t="s">
        <v>27</v>
      </c>
      <c r="F209" s="72">
        <v>25.5</v>
      </c>
      <c r="G209" s="67"/>
      <c r="H209" s="44">
        <f>F209*G209</f>
        <v>0</v>
      </c>
      <c r="I209" s="42"/>
      <c r="K209" s="115"/>
      <c r="L209" s="116"/>
      <c r="M209" s="116"/>
      <c r="N209" s="106"/>
      <c r="O209" s="116"/>
      <c r="P209" s="117"/>
      <c r="Q209" s="118"/>
      <c r="R209" s="119"/>
    </row>
    <row r="210" spans="1:25" s="12" customFormat="1" ht="13.5" customHeight="1">
      <c r="A210" s="107"/>
      <c r="B210" s="71"/>
      <c r="C210" s="71"/>
      <c r="D210" s="190" t="s">
        <v>884</v>
      </c>
      <c r="E210" s="135"/>
      <c r="F210" s="44"/>
      <c r="G210" s="44"/>
      <c r="H210" s="44"/>
      <c r="I210" s="42"/>
      <c r="K210" s="115"/>
      <c r="L210" s="116"/>
      <c r="M210" s="116"/>
      <c r="N210" s="106"/>
      <c r="O210" s="116"/>
      <c r="P210" s="117"/>
      <c r="Q210" s="118"/>
      <c r="R210" s="119"/>
    </row>
    <row r="211" spans="1:25" s="2" customFormat="1" ht="27" customHeight="1">
      <c r="A211" s="164"/>
      <c r="B211" s="168"/>
      <c r="C211" s="132"/>
      <c r="D211" s="43" t="s">
        <v>788</v>
      </c>
      <c r="E211" s="43"/>
      <c r="F211" s="44"/>
      <c r="G211" s="166"/>
      <c r="H211" s="155"/>
      <c r="I211" s="45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</row>
    <row r="212" spans="1:25" s="12" customFormat="1" ht="13.5" customHeight="1">
      <c r="A212" s="158">
        <v>60</v>
      </c>
      <c r="B212" s="130">
        <v>411</v>
      </c>
      <c r="C212" s="130" t="s">
        <v>768</v>
      </c>
      <c r="D212" s="130" t="s">
        <v>883</v>
      </c>
      <c r="E212" s="130" t="s">
        <v>21</v>
      </c>
      <c r="F212" s="159">
        <f>F213</f>
        <v>88.6</v>
      </c>
      <c r="G212" s="167">
        <f>SUM(H214:H214)/F212</f>
        <v>0</v>
      </c>
      <c r="H212" s="155">
        <f>F212*G212</f>
        <v>0</v>
      </c>
      <c r="I212" s="42" t="s">
        <v>109</v>
      </c>
    </row>
    <row r="213" spans="1:25" s="12" customFormat="1" ht="13.5" customHeight="1">
      <c r="A213" s="158"/>
      <c r="B213" s="131"/>
      <c r="C213" s="130"/>
      <c r="D213" s="43" t="s">
        <v>731</v>
      </c>
      <c r="E213" s="130"/>
      <c r="F213" s="44">
        <f>23.4+23.5+7.3+34.4</f>
        <v>88.6</v>
      </c>
      <c r="G213" s="155"/>
      <c r="H213" s="155"/>
      <c r="I213" s="42"/>
    </row>
    <row r="214" spans="1:25" s="12" customFormat="1" ht="13.5" customHeight="1">
      <c r="A214" s="134" t="s">
        <v>907</v>
      </c>
      <c r="B214" s="130"/>
      <c r="C214" s="130"/>
      <c r="D214" s="43" t="s">
        <v>885</v>
      </c>
      <c r="E214" s="135" t="s">
        <v>21</v>
      </c>
      <c r="F214" s="44">
        <v>97.5</v>
      </c>
      <c r="G214" s="67"/>
      <c r="H214" s="44">
        <f>F214*G214</f>
        <v>0</v>
      </c>
      <c r="I214" s="42"/>
      <c r="K214" s="115"/>
      <c r="L214" s="116"/>
      <c r="M214" s="116"/>
      <c r="N214" s="106"/>
      <c r="O214" s="116"/>
      <c r="P214" s="117"/>
      <c r="Q214" s="118"/>
      <c r="R214" s="119"/>
    </row>
    <row r="215" spans="1:25" s="12" customFormat="1" ht="13.5" customHeight="1">
      <c r="A215" s="134"/>
      <c r="B215" s="130"/>
      <c r="C215" s="130"/>
      <c r="D215" s="173" t="s">
        <v>884</v>
      </c>
      <c r="E215" s="135"/>
      <c r="F215" s="44"/>
      <c r="G215" s="44"/>
      <c r="H215" s="44"/>
      <c r="I215" s="42"/>
      <c r="K215" s="115"/>
      <c r="L215" s="116"/>
      <c r="M215" s="116"/>
      <c r="N215" s="106"/>
      <c r="O215" s="116"/>
      <c r="P215" s="117"/>
      <c r="Q215" s="118"/>
      <c r="R215" s="119"/>
    </row>
    <row r="216" spans="1:25" s="2" customFormat="1" ht="27" customHeight="1">
      <c r="A216" s="164"/>
      <c r="B216" s="168"/>
      <c r="C216" s="132"/>
      <c r="D216" s="43" t="s">
        <v>788</v>
      </c>
      <c r="E216" s="43"/>
      <c r="F216" s="44"/>
      <c r="G216" s="166"/>
      <c r="H216" s="155"/>
      <c r="I216" s="45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</row>
    <row r="217" spans="1:25" s="78" customFormat="1" ht="13.5" customHeight="1">
      <c r="A217" s="69"/>
      <c r="B217" s="74"/>
      <c r="C217" s="74" t="s">
        <v>14</v>
      </c>
      <c r="D217" s="74" t="s">
        <v>79</v>
      </c>
      <c r="E217" s="74"/>
      <c r="F217" s="75"/>
      <c r="G217" s="76"/>
      <c r="H217" s="76">
        <f>SUM(H218:H283)</f>
        <v>0</v>
      </c>
      <c r="I217" s="77"/>
    </row>
    <row r="218" spans="1:25" s="70" customFormat="1" ht="13.5" customHeight="1">
      <c r="A218" s="158">
        <v>61</v>
      </c>
      <c r="B218" s="131" t="s">
        <v>80</v>
      </c>
      <c r="C218" s="130">
        <v>611325423</v>
      </c>
      <c r="D218" s="130" t="s">
        <v>958</v>
      </c>
      <c r="E218" s="130" t="s">
        <v>21</v>
      </c>
      <c r="F218" s="163">
        <f>SUM(F219:F228)</f>
        <v>6448.6679999999988</v>
      </c>
      <c r="G218" s="155"/>
      <c r="H218" s="155">
        <f>F218*G218</f>
        <v>0</v>
      </c>
      <c r="I218" s="42" t="s">
        <v>105</v>
      </c>
      <c r="J218" s="78"/>
      <c r="K218" s="78"/>
      <c r="L218" s="78"/>
      <c r="M218" s="78"/>
      <c r="N218" s="78"/>
      <c r="O218" s="78"/>
      <c r="P218" s="78"/>
    </row>
    <row r="219" spans="1:25" s="70" customFormat="1" ht="51.75" customHeight="1">
      <c r="A219" s="158"/>
      <c r="B219" s="130"/>
      <c r="C219" s="130"/>
      <c r="D219" s="43" t="s">
        <v>541</v>
      </c>
      <c r="E219" s="130"/>
      <c r="F219" s="44">
        <f>(71.55+10.01+41.48+50.22+37.68+18.12+18.86+5.19+11.27+3.31+11.28+3.31+17.81+27.06+33.35+33.04+45.13+75.62+38.29+86.96+18.54+230.05+80.69+12.35+2.69+2.69+6.95+6.3+7.97+70.18+8.41+14.17+10.06+2.21+15.79+8.45+2.89+2+1.58+1.96+1.58+3.12+8.35)*1.2</f>
        <v>1390.2239999999999</v>
      </c>
      <c r="G219" s="155"/>
      <c r="H219" s="155"/>
      <c r="I219" s="42"/>
      <c r="J219" s="79"/>
      <c r="K219" s="79"/>
      <c r="L219" s="78"/>
      <c r="M219" s="78"/>
      <c r="N219" s="78"/>
      <c r="O219" s="78"/>
      <c r="P219" s="78"/>
    </row>
    <row r="220" spans="1:25" s="70" customFormat="1" ht="13.5" customHeight="1">
      <c r="A220" s="158"/>
      <c r="B220" s="130"/>
      <c r="C220" s="130"/>
      <c r="D220" s="43" t="s">
        <v>143</v>
      </c>
      <c r="E220" s="130"/>
      <c r="F220" s="44">
        <f>(-17.25-30.29-29.22-17.02)*1.2</f>
        <v>-112.53599999999999</v>
      </c>
      <c r="G220" s="155"/>
      <c r="H220" s="155"/>
      <c r="I220" s="42"/>
      <c r="J220" s="78"/>
      <c r="K220" s="79"/>
      <c r="L220" s="78"/>
      <c r="M220" s="78"/>
      <c r="N220" s="78"/>
      <c r="O220" s="78"/>
      <c r="P220" s="78"/>
    </row>
    <row r="221" spans="1:25" s="70" customFormat="1" ht="49.5" customHeight="1">
      <c r="A221" s="158"/>
      <c r="B221" s="130"/>
      <c r="C221" s="130"/>
      <c r="D221" s="43" t="s">
        <v>543</v>
      </c>
      <c r="E221" s="130"/>
      <c r="F221" s="44">
        <f>(84.75+22.64+16.78+37.79+37.66+23.73+21.71+33.87+33.37+22.22+23.46+77.73+40.44+90.13+106.57+119.15+136.91+2.89+2.69+13.57+16.4+9.32+9.12+13.92+110.53+10.05+7.96+16.86+18.02+13.85+38.14+43.08+22.49+85.63+19.37+14.06+3.12+8.35)*1.2</f>
        <v>1689.9959999999994</v>
      </c>
      <c r="G221" s="155"/>
      <c r="H221" s="155"/>
      <c r="I221" s="42"/>
      <c r="J221" s="78"/>
      <c r="K221" s="78"/>
      <c r="L221" s="78"/>
      <c r="M221" s="78"/>
      <c r="N221" s="78"/>
      <c r="O221" s="78"/>
      <c r="P221" s="78"/>
    </row>
    <row r="222" spans="1:25" s="70" customFormat="1" ht="13.5" customHeight="1">
      <c r="A222" s="158"/>
      <c r="B222" s="130"/>
      <c r="C222" s="130"/>
      <c r="D222" s="43" t="s">
        <v>354</v>
      </c>
      <c r="E222" s="130"/>
      <c r="F222" s="44">
        <f>(-19-31.97-20.89-10.77-2.8-2.55-6.46-7.11)*1.2</f>
        <v>-121.85999999999997</v>
      </c>
      <c r="G222" s="155"/>
      <c r="H222" s="155"/>
      <c r="I222" s="42"/>
      <c r="J222" s="78"/>
      <c r="K222" s="78"/>
      <c r="L222" s="78"/>
      <c r="M222" s="78"/>
      <c r="N222" s="78"/>
      <c r="O222" s="78"/>
      <c r="P222" s="78"/>
    </row>
    <row r="223" spans="1:25" s="70" customFormat="1" ht="49.5" customHeight="1">
      <c r="A223" s="158"/>
      <c r="B223" s="130"/>
      <c r="C223" s="130"/>
      <c r="D223" s="43" t="s">
        <v>616</v>
      </c>
      <c r="E223" s="130"/>
      <c r="F223" s="44">
        <f>(59.68+26.74+40.89+78.99+23.06+22.17+33.9+33.05+22.26+23.51+78.89+41.06+27.47+65.04+48.33+110.03+121.77+94.02+13.33+2.89+2.69+14.11+16.94+9.5+9.63+14.93+35.91+16.53+129.74+106.67+105.91+3.12+8.35)*1.2</f>
        <v>1729.3320000000001</v>
      </c>
      <c r="G223" s="155"/>
      <c r="H223" s="155"/>
      <c r="I223" s="42"/>
      <c r="J223" s="79"/>
      <c r="K223" s="78"/>
      <c r="L223" s="78"/>
      <c r="M223" s="78"/>
      <c r="N223" s="78"/>
      <c r="O223" s="78"/>
      <c r="P223" s="78"/>
    </row>
    <row r="224" spans="1:25" s="70" customFormat="1" ht="27.75" customHeight="1">
      <c r="A224" s="158"/>
      <c r="B224" s="130"/>
      <c r="C224" s="130"/>
      <c r="D224" s="43" t="s">
        <v>160</v>
      </c>
      <c r="E224" s="130"/>
      <c r="F224" s="44">
        <f>(-6.9-4.53-6.38-31.64-7.1-13.31-10.59-2.82-2.54-12.36)*1.2</f>
        <v>-117.804</v>
      </c>
      <c r="G224" s="155"/>
      <c r="H224" s="155"/>
      <c r="I224" s="42"/>
      <c r="J224" s="78"/>
      <c r="K224" s="78"/>
      <c r="L224" s="78"/>
      <c r="M224" s="78"/>
      <c r="N224" s="78"/>
      <c r="O224" s="78"/>
      <c r="P224" s="78"/>
    </row>
    <row r="225" spans="1:16" s="70" customFormat="1" ht="49.5" customHeight="1">
      <c r="A225" s="158"/>
      <c r="B225" s="130"/>
      <c r="C225" s="130"/>
      <c r="D225" s="43" t="s">
        <v>641</v>
      </c>
      <c r="E225" s="130"/>
      <c r="F225" s="44">
        <f>(57.65+28.26+49.33+60.32+47.08+69.72+21.77+124.32+61.27+31.42+110.12+121.94+145.36+12.88+2.88+2.69+14.73+19.5+7.73+9.44+15.15+19.98+16.95+17.3+132.77+106.36+107.17+10.7+23.64+3.12+8.35)*1.2</f>
        <v>1751.88</v>
      </c>
      <c r="G225" s="155"/>
      <c r="H225" s="155"/>
      <c r="I225" s="42"/>
      <c r="J225" s="79"/>
      <c r="K225" s="78"/>
      <c r="L225" s="78"/>
      <c r="M225" s="78"/>
      <c r="N225" s="78"/>
      <c r="O225" s="78"/>
      <c r="P225" s="78"/>
    </row>
    <row r="226" spans="1:16" s="70" customFormat="1" ht="27.75" customHeight="1">
      <c r="A226" s="158"/>
      <c r="B226" s="130"/>
      <c r="C226" s="130"/>
      <c r="D226" s="43" t="s">
        <v>352</v>
      </c>
      <c r="E226" s="130"/>
      <c r="F226" s="44">
        <f>(-21.92-5.86-12.04-15.59-16.37-17.92-2.9-10.53-2.89-2.81-13.83)*1.2</f>
        <v>-147.19200000000001</v>
      </c>
      <c r="G226" s="155"/>
      <c r="H226" s="155"/>
      <c r="I226" s="42"/>
      <c r="J226" s="78"/>
      <c r="K226" s="78"/>
      <c r="L226" s="78"/>
      <c r="M226" s="78"/>
      <c r="N226" s="78"/>
      <c r="O226" s="78"/>
      <c r="P226" s="78"/>
    </row>
    <row r="227" spans="1:16" s="70" customFormat="1" ht="38.25" customHeight="1">
      <c r="A227" s="158"/>
      <c r="B227" s="130"/>
      <c r="C227" s="130"/>
      <c r="D227" s="43" t="s">
        <v>738</v>
      </c>
      <c r="E227" s="130"/>
      <c r="F227" s="44">
        <f>(44.64+18.85+33.77+18.51+21.53+21.11+16.73+12.73+2.93+2.69+14.55+83.64+37.07+19.89+16.82+3.12+8.35)*1.2</f>
        <v>452.31599999999997</v>
      </c>
      <c r="G227" s="155"/>
      <c r="H227" s="155"/>
      <c r="I227" s="42"/>
      <c r="J227" s="79"/>
      <c r="K227" s="78"/>
      <c r="L227" s="78"/>
      <c r="M227" s="78"/>
      <c r="N227" s="78"/>
      <c r="O227" s="78"/>
      <c r="P227" s="78"/>
    </row>
    <row r="228" spans="1:16" s="70" customFormat="1" ht="13.5" customHeight="1">
      <c r="A228" s="158"/>
      <c r="B228" s="130"/>
      <c r="C228" s="130"/>
      <c r="D228" s="43" t="s">
        <v>353</v>
      </c>
      <c r="E228" s="130"/>
      <c r="F228" s="44">
        <f>(-8.67-3.96-5.12-36.99)*1.2</f>
        <v>-65.688000000000002</v>
      </c>
      <c r="G228" s="155"/>
      <c r="H228" s="155"/>
      <c r="I228" s="42"/>
      <c r="J228" s="78"/>
      <c r="K228" s="78"/>
      <c r="L228" s="78"/>
      <c r="M228" s="78"/>
      <c r="N228" s="78"/>
      <c r="O228" s="78"/>
      <c r="P228" s="78"/>
    </row>
    <row r="229" spans="1:16" s="70" customFormat="1" ht="13.5" customHeight="1">
      <c r="A229" s="158">
        <v>62</v>
      </c>
      <c r="B229" s="131" t="s">
        <v>80</v>
      </c>
      <c r="C229" s="130">
        <v>612131111</v>
      </c>
      <c r="D229" s="130" t="s">
        <v>81</v>
      </c>
      <c r="E229" s="130" t="s">
        <v>21</v>
      </c>
      <c r="F229" s="163">
        <f>SUM(F230:F240)</f>
        <v>932.5127500000001</v>
      </c>
      <c r="G229" s="155"/>
      <c r="H229" s="155">
        <f>F229*G229</f>
        <v>0</v>
      </c>
      <c r="I229" s="42" t="s">
        <v>105</v>
      </c>
      <c r="J229" s="78"/>
      <c r="K229" s="78"/>
      <c r="L229" s="78"/>
      <c r="M229" s="78"/>
      <c r="N229" s="78"/>
      <c r="O229" s="78"/>
      <c r="P229" s="78"/>
    </row>
    <row r="230" spans="1:16" s="70" customFormat="1" ht="13.5" customHeight="1">
      <c r="A230" s="158"/>
      <c r="B230" s="130"/>
      <c r="C230" s="130"/>
      <c r="D230" s="43" t="s">
        <v>324</v>
      </c>
      <c r="E230" s="130"/>
      <c r="F230" s="44">
        <v>162.1</v>
      </c>
      <c r="G230" s="155"/>
      <c r="H230" s="155"/>
      <c r="I230" s="42"/>
      <c r="J230" s="78"/>
      <c r="K230" s="78"/>
      <c r="L230" s="78"/>
      <c r="M230" s="78"/>
      <c r="N230" s="78"/>
      <c r="O230" s="78"/>
      <c r="P230" s="78"/>
    </row>
    <row r="231" spans="1:16" s="70" customFormat="1" ht="13.5" customHeight="1">
      <c r="A231" s="158"/>
      <c r="B231" s="130"/>
      <c r="C231" s="130"/>
      <c r="D231" s="43" t="s">
        <v>847</v>
      </c>
      <c r="E231" s="130"/>
      <c r="F231" s="44">
        <f>22.5*2+17.4*2+25.8*2+0.6*2</f>
        <v>132.6</v>
      </c>
      <c r="G231" s="155"/>
      <c r="H231" s="155"/>
      <c r="I231" s="42"/>
      <c r="J231" s="78"/>
      <c r="K231" s="78"/>
      <c r="L231" s="78"/>
      <c r="M231" s="78"/>
      <c r="N231" s="78"/>
      <c r="O231" s="78"/>
      <c r="P231" s="78"/>
    </row>
    <row r="232" spans="1:16" s="70" customFormat="1" ht="13.5" customHeight="1">
      <c r="A232" s="158"/>
      <c r="B232" s="130"/>
      <c r="C232" s="130"/>
      <c r="D232" s="43" t="s">
        <v>549</v>
      </c>
      <c r="E232" s="130"/>
      <c r="F232" s="44">
        <f>(2.2+1.2+3.15+4.1)*3.5</f>
        <v>37.274999999999999</v>
      </c>
      <c r="G232" s="155"/>
      <c r="H232" s="155"/>
      <c r="I232" s="42"/>
      <c r="J232" s="78"/>
      <c r="K232" s="78"/>
      <c r="L232" s="78"/>
      <c r="M232" s="78"/>
      <c r="N232" s="78"/>
      <c r="O232" s="78"/>
      <c r="P232" s="78"/>
    </row>
    <row r="233" spans="1:16" s="70" customFormat="1" ht="13.5" customHeight="1">
      <c r="A233" s="158"/>
      <c r="B233" s="130"/>
      <c r="C233" s="130"/>
      <c r="D233" s="43" t="s">
        <v>557</v>
      </c>
      <c r="E233" s="130"/>
      <c r="F233" s="44">
        <f>22.3*2+8.6*2+20.9*2</f>
        <v>103.6</v>
      </c>
      <c r="G233" s="155"/>
      <c r="H233" s="155"/>
      <c r="I233" s="42"/>
      <c r="J233" s="78"/>
      <c r="K233" s="78"/>
      <c r="L233" s="78"/>
      <c r="M233" s="78"/>
      <c r="N233" s="78"/>
      <c r="O233" s="78"/>
      <c r="P233" s="78"/>
    </row>
    <row r="234" spans="1:16" s="70" customFormat="1" ht="13.5" customHeight="1">
      <c r="A234" s="158"/>
      <c r="B234" s="130"/>
      <c r="C234" s="130"/>
      <c r="D234" s="43" t="s">
        <v>550</v>
      </c>
      <c r="E234" s="130"/>
      <c r="F234" s="44">
        <f>(2.2+1.2+3.15+4.1)*3.5</f>
        <v>37.274999999999999</v>
      </c>
      <c r="G234" s="155"/>
      <c r="H234" s="155"/>
      <c r="I234" s="42"/>
      <c r="J234" s="78"/>
      <c r="K234" s="78"/>
      <c r="L234" s="78"/>
      <c r="M234" s="78"/>
      <c r="N234" s="78"/>
      <c r="O234" s="78"/>
      <c r="P234" s="78"/>
    </row>
    <row r="235" spans="1:16" s="70" customFormat="1" ht="13.5" customHeight="1">
      <c r="A235" s="158"/>
      <c r="B235" s="130"/>
      <c r="C235" s="130"/>
      <c r="D235" s="43" t="s">
        <v>628</v>
      </c>
      <c r="E235" s="130"/>
      <c r="F235" s="44">
        <f>25.8*2+9.8*2+23.2*2</f>
        <v>117.6</v>
      </c>
      <c r="G235" s="155"/>
      <c r="H235" s="155"/>
      <c r="I235" s="42"/>
      <c r="J235" s="78"/>
      <c r="K235" s="78"/>
      <c r="L235" s="78"/>
      <c r="M235" s="78"/>
      <c r="N235" s="78"/>
      <c r="O235" s="78"/>
      <c r="P235" s="78"/>
    </row>
    <row r="236" spans="1:16" s="70" customFormat="1" ht="13.5" customHeight="1">
      <c r="A236" s="158"/>
      <c r="B236" s="130"/>
      <c r="C236" s="130"/>
      <c r="D236" s="43" t="s">
        <v>656</v>
      </c>
      <c r="E236" s="130"/>
      <c r="F236" s="44">
        <f>(2.2+1.2+3.15+4.1)*3.53</f>
        <v>37.594499999999996</v>
      </c>
      <c r="G236" s="155"/>
      <c r="H236" s="155"/>
      <c r="I236" s="42"/>
      <c r="J236" s="78"/>
      <c r="K236" s="78"/>
      <c r="L236" s="78"/>
      <c r="M236" s="78"/>
      <c r="N236" s="78"/>
      <c r="O236" s="78"/>
      <c r="P236" s="78"/>
    </row>
    <row r="237" spans="1:16" s="70" customFormat="1" ht="13.5" customHeight="1">
      <c r="A237" s="158"/>
      <c r="B237" s="130"/>
      <c r="C237" s="130"/>
      <c r="D237" s="43" t="s">
        <v>658</v>
      </c>
      <c r="E237" s="130"/>
      <c r="F237" s="44">
        <f>36*2+17.2*2+23.4*2</f>
        <v>153.19999999999999</v>
      </c>
      <c r="G237" s="155"/>
      <c r="H237" s="155"/>
      <c r="I237" s="42"/>
      <c r="J237" s="78"/>
      <c r="K237" s="78"/>
      <c r="L237" s="78"/>
      <c r="M237" s="78"/>
      <c r="N237" s="78"/>
      <c r="O237" s="78"/>
      <c r="P237" s="78"/>
    </row>
    <row r="238" spans="1:16" s="70" customFormat="1" ht="13.5" customHeight="1">
      <c r="A238" s="158"/>
      <c r="B238" s="130"/>
      <c r="C238" s="130"/>
      <c r="D238" s="43" t="s">
        <v>657</v>
      </c>
      <c r="E238" s="130"/>
      <c r="F238" s="44">
        <f xml:space="preserve"> (2.2+1.2+3.15+4.1)*3.6</f>
        <v>38.340000000000003</v>
      </c>
      <c r="G238" s="155"/>
      <c r="H238" s="155"/>
      <c r="I238" s="42"/>
      <c r="J238" s="78"/>
      <c r="K238" s="78"/>
      <c r="L238" s="78"/>
      <c r="M238" s="78"/>
      <c r="N238" s="78"/>
      <c r="O238" s="78"/>
      <c r="P238" s="78"/>
    </row>
    <row r="239" spans="1:16" s="70" customFormat="1" ht="13.5" customHeight="1">
      <c r="A239" s="158"/>
      <c r="B239" s="130"/>
      <c r="C239" s="130"/>
      <c r="D239" s="43" t="s">
        <v>721</v>
      </c>
      <c r="E239" s="130"/>
      <c r="F239" s="44">
        <f>5.3*2+22.8*2+9.7*2</f>
        <v>75.599999999999994</v>
      </c>
      <c r="G239" s="155"/>
      <c r="H239" s="155"/>
      <c r="I239" s="42"/>
      <c r="J239" s="78"/>
      <c r="K239" s="78"/>
      <c r="L239" s="78"/>
      <c r="M239" s="78"/>
      <c r="N239" s="78"/>
      <c r="O239" s="78"/>
      <c r="P239" s="78"/>
    </row>
    <row r="240" spans="1:16" s="70" customFormat="1" ht="13.5" customHeight="1">
      <c r="A240" s="158"/>
      <c r="B240" s="130"/>
      <c r="C240" s="130"/>
      <c r="D240" s="43" t="s">
        <v>722</v>
      </c>
      <c r="E240" s="130"/>
      <c r="F240" s="44">
        <f>(2.2+1.2+3.15+4.1)*3.505</f>
        <v>37.328249999999997</v>
      </c>
      <c r="G240" s="155"/>
      <c r="H240" s="155"/>
      <c r="I240" s="42"/>
      <c r="J240" s="78"/>
      <c r="K240" s="78"/>
      <c r="L240" s="78"/>
      <c r="M240" s="78"/>
      <c r="N240" s="78"/>
      <c r="O240" s="78"/>
      <c r="P240" s="78"/>
    </row>
    <row r="241" spans="1:16" s="70" customFormat="1" ht="13.5" customHeight="1">
      <c r="A241" s="158">
        <v>63</v>
      </c>
      <c r="B241" s="131" t="s">
        <v>80</v>
      </c>
      <c r="C241" s="130">
        <v>612321141</v>
      </c>
      <c r="D241" s="130" t="s">
        <v>167</v>
      </c>
      <c r="E241" s="130" t="s">
        <v>21</v>
      </c>
      <c r="F241" s="163">
        <f>SUM(F242:F252)</f>
        <v>932.5127500000001</v>
      </c>
      <c r="G241" s="155"/>
      <c r="H241" s="155">
        <f>F241*G241</f>
        <v>0</v>
      </c>
      <c r="I241" s="42" t="s">
        <v>105</v>
      </c>
      <c r="J241" s="78"/>
      <c r="K241" s="78"/>
      <c r="L241" s="78"/>
      <c r="M241" s="78"/>
      <c r="N241" s="78"/>
      <c r="O241" s="78"/>
      <c r="P241" s="78"/>
    </row>
    <row r="242" spans="1:16" s="70" customFormat="1" ht="13.5" customHeight="1">
      <c r="A242" s="158"/>
      <c r="B242" s="130"/>
      <c r="C242" s="130"/>
      <c r="D242" s="43" t="s">
        <v>325</v>
      </c>
      <c r="E242" s="130"/>
      <c r="F242" s="44">
        <v>162.1</v>
      </c>
      <c r="G242" s="155"/>
      <c r="H242" s="155"/>
      <c r="I242" s="42"/>
      <c r="J242" s="78"/>
      <c r="K242" s="78"/>
      <c r="L242" s="78"/>
      <c r="M242" s="78"/>
      <c r="N242" s="78"/>
      <c r="O242" s="78"/>
      <c r="P242" s="78"/>
    </row>
    <row r="243" spans="1:16" s="70" customFormat="1" ht="13.5" customHeight="1">
      <c r="A243" s="158"/>
      <c r="B243" s="130"/>
      <c r="C243" s="130"/>
      <c r="D243" s="43" t="s">
        <v>848</v>
      </c>
      <c r="E243" s="130"/>
      <c r="F243" s="44">
        <f>22.5*2+17.4*2+25.8*2+0.6*2</f>
        <v>132.6</v>
      </c>
      <c r="G243" s="155"/>
      <c r="H243" s="155"/>
      <c r="I243" s="42"/>
      <c r="J243" s="78"/>
      <c r="K243" s="78"/>
      <c r="L243" s="78"/>
      <c r="M243" s="78"/>
      <c r="N243" s="78"/>
      <c r="O243" s="78"/>
      <c r="P243" s="78"/>
    </row>
    <row r="244" spans="1:16" s="70" customFormat="1" ht="13.5" customHeight="1">
      <c r="A244" s="158"/>
      <c r="B244" s="130"/>
      <c r="C244" s="130"/>
      <c r="D244" s="43" t="s">
        <v>551</v>
      </c>
      <c r="E244" s="130"/>
      <c r="F244" s="44">
        <f xml:space="preserve"> (2.2+1.2+3.15+4.1)*3.5</f>
        <v>37.274999999999999</v>
      </c>
      <c r="G244" s="155"/>
      <c r="H244" s="155"/>
      <c r="I244" s="42"/>
      <c r="J244" s="78"/>
      <c r="K244" s="78"/>
      <c r="L244" s="78"/>
      <c r="M244" s="78"/>
      <c r="N244" s="78"/>
      <c r="O244" s="78"/>
      <c r="P244" s="78"/>
    </row>
    <row r="245" spans="1:16" s="70" customFormat="1" ht="13.5" customHeight="1">
      <c r="A245" s="158"/>
      <c r="B245" s="130"/>
      <c r="C245" s="130"/>
      <c r="D245" s="43" t="s">
        <v>558</v>
      </c>
      <c r="E245" s="130"/>
      <c r="F245" s="44">
        <f>22.3*2+8.6*2+20.9*2</f>
        <v>103.6</v>
      </c>
      <c r="G245" s="155"/>
      <c r="H245" s="155"/>
      <c r="I245" s="42"/>
      <c r="J245" s="78"/>
      <c r="K245" s="78"/>
      <c r="L245" s="78"/>
      <c r="M245" s="78"/>
      <c r="N245" s="78"/>
      <c r="O245" s="78"/>
      <c r="P245" s="78"/>
    </row>
    <row r="246" spans="1:16" s="70" customFormat="1" ht="13.5" customHeight="1">
      <c r="A246" s="158"/>
      <c r="B246" s="130"/>
      <c r="C246" s="130"/>
      <c r="D246" s="43" t="s">
        <v>552</v>
      </c>
      <c r="E246" s="130"/>
      <c r="F246" s="44">
        <f>(2.2+1.2+3.15+4.1)*3.5</f>
        <v>37.274999999999999</v>
      </c>
      <c r="G246" s="155"/>
      <c r="H246" s="155"/>
      <c r="I246" s="42"/>
      <c r="J246" s="78"/>
      <c r="K246" s="78"/>
      <c r="L246" s="78"/>
      <c r="M246" s="78"/>
      <c r="N246" s="78"/>
      <c r="O246" s="78"/>
      <c r="P246" s="78"/>
    </row>
    <row r="247" spans="1:16" s="70" customFormat="1" ht="13.5" customHeight="1">
      <c r="A247" s="158"/>
      <c r="B247" s="130"/>
      <c r="C247" s="130"/>
      <c r="D247" s="43" t="s">
        <v>629</v>
      </c>
      <c r="E247" s="130"/>
      <c r="F247" s="44">
        <f>25.8*2+9.8*2+23.2*2</f>
        <v>117.6</v>
      </c>
      <c r="G247" s="155"/>
      <c r="H247" s="155"/>
      <c r="I247" s="42"/>
      <c r="J247" s="78"/>
      <c r="K247" s="78"/>
      <c r="L247" s="78"/>
      <c r="M247" s="78"/>
      <c r="N247" s="78"/>
      <c r="O247" s="78"/>
      <c r="P247" s="78"/>
    </row>
    <row r="248" spans="1:16" s="70" customFormat="1" ht="13.5" customHeight="1">
      <c r="A248" s="158"/>
      <c r="B248" s="130"/>
      <c r="C248" s="130"/>
      <c r="D248" s="43" t="s">
        <v>687</v>
      </c>
      <c r="E248" s="130"/>
      <c r="F248" s="44">
        <f>(2.2+1.2+3.15+4.1)*3.53</f>
        <v>37.594499999999996</v>
      </c>
      <c r="G248" s="155"/>
      <c r="H248" s="155"/>
      <c r="I248" s="42"/>
      <c r="J248" s="78"/>
      <c r="K248" s="78"/>
      <c r="L248" s="78"/>
      <c r="M248" s="78"/>
      <c r="N248" s="78"/>
      <c r="O248" s="78"/>
      <c r="P248" s="78"/>
    </row>
    <row r="249" spans="1:16" s="70" customFormat="1" ht="13.5" customHeight="1">
      <c r="A249" s="158"/>
      <c r="B249" s="130"/>
      <c r="C249" s="130"/>
      <c r="D249" s="43" t="s">
        <v>685</v>
      </c>
      <c r="E249" s="130"/>
      <c r="F249" s="44">
        <f xml:space="preserve"> 36*2+17.2*2+23.4*2</f>
        <v>153.19999999999999</v>
      </c>
      <c r="G249" s="155"/>
      <c r="H249" s="155"/>
      <c r="I249" s="42"/>
      <c r="J249" s="78"/>
      <c r="K249" s="78"/>
      <c r="L249" s="78"/>
      <c r="M249" s="78"/>
      <c r="N249" s="78"/>
      <c r="O249" s="78"/>
      <c r="P249" s="78"/>
    </row>
    <row r="250" spans="1:16" s="70" customFormat="1" ht="13.5" customHeight="1">
      <c r="A250" s="158"/>
      <c r="B250" s="130"/>
      <c r="C250" s="130"/>
      <c r="D250" s="43" t="s">
        <v>686</v>
      </c>
      <c r="E250" s="130"/>
      <c r="F250" s="44">
        <f>(2.2+1.2+3.15+4.1)*3.6</f>
        <v>38.340000000000003</v>
      </c>
      <c r="G250" s="155"/>
      <c r="H250" s="155"/>
      <c r="I250" s="42"/>
      <c r="J250" s="78"/>
      <c r="K250" s="78"/>
      <c r="L250" s="78"/>
      <c r="M250" s="78"/>
      <c r="N250" s="78"/>
      <c r="O250" s="78"/>
      <c r="P250" s="78"/>
    </row>
    <row r="251" spans="1:16" s="70" customFormat="1" ht="13.5" customHeight="1">
      <c r="A251" s="158"/>
      <c r="B251" s="130"/>
      <c r="C251" s="130"/>
      <c r="D251" s="43" t="s">
        <v>723</v>
      </c>
      <c r="E251" s="130"/>
      <c r="F251" s="44">
        <f>5.3*2+22.8*2+9.7*2</f>
        <v>75.599999999999994</v>
      </c>
      <c r="G251" s="155"/>
      <c r="H251" s="155"/>
      <c r="I251" s="42"/>
      <c r="J251" s="78"/>
      <c r="K251" s="78"/>
      <c r="L251" s="78"/>
      <c r="M251" s="78"/>
      <c r="N251" s="78"/>
      <c r="O251" s="78"/>
      <c r="P251" s="78"/>
    </row>
    <row r="252" spans="1:16" s="70" customFormat="1" ht="13.5" customHeight="1">
      <c r="A252" s="158"/>
      <c r="B252" s="130"/>
      <c r="C252" s="130"/>
      <c r="D252" s="43" t="s">
        <v>724</v>
      </c>
      <c r="E252" s="130"/>
      <c r="F252" s="44">
        <f>(2.2+1.2+3.15+4.1)*3.505</f>
        <v>37.328249999999997</v>
      </c>
      <c r="G252" s="155"/>
      <c r="H252" s="155"/>
      <c r="I252" s="42"/>
      <c r="J252" s="78"/>
      <c r="K252" s="78"/>
      <c r="L252" s="78"/>
      <c r="M252" s="78"/>
      <c r="N252" s="78"/>
      <c r="O252" s="78"/>
      <c r="P252" s="78"/>
    </row>
    <row r="253" spans="1:16" s="70" customFormat="1" ht="13.5" customHeight="1">
      <c r="A253" s="158">
        <v>64</v>
      </c>
      <c r="B253" s="131" t="s">
        <v>80</v>
      </c>
      <c r="C253" s="130">
        <v>612325423</v>
      </c>
      <c r="D253" s="130" t="s">
        <v>959</v>
      </c>
      <c r="E253" s="130" t="s">
        <v>21</v>
      </c>
      <c r="F253" s="163">
        <f>SUM(F254:F260)</f>
        <v>14018.500000000002</v>
      </c>
      <c r="G253" s="155"/>
      <c r="H253" s="155">
        <f>F253*G253</f>
        <v>0</v>
      </c>
      <c r="I253" s="42" t="s">
        <v>105</v>
      </c>
      <c r="J253" s="78"/>
      <c r="K253" s="78"/>
      <c r="L253" s="78"/>
      <c r="M253" s="78"/>
      <c r="N253" s="78"/>
      <c r="O253" s="78"/>
      <c r="P253" s="78"/>
    </row>
    <row r="254" spans="1:16" s="70" customFormat="1" ht="13.5" customHeight="1">
      <c r="A254" s="158"/>
      <c r="B254" s="130"/>
      <c r="C254" s="130"/>
      <c r="D254" s="43" t="s">
        <v>483</v>
      </c>
      <c r="E254" s="130"/>
      <c r="F254" s="44">
        <v>174.3</v>
      </c>
      <c r="G254" s="155"/>
      <c r="H254" s="155"/>
      <c r="I254" s="42"/>
      <c r="J254" s="78"/>
      <c r="K254" s="78"/>
      <c r="L254" s="78"/>
      <c r="M254" s="78"/>
      <c r="N254" s="78"/>
      <c r="O254" s="78"/>
      <c r="P254" s="78"/>
    </row>
    <row r="255" spans="1:16" s="70" customFormat="1" ht="13.5" customHeight="1">
      <c r="A255" s="158"/>
      <c r="B255" s="130"/>
      <c r="C255" s="130"/>
      <c r="D255" s="43" t="s">
        <v>107</v>
      </c>
      <c r="E255" s="130"/>
      <c r="F255" s="44">
        <v>2514</v>
      </c>
      <c r="G255" s="155"/>
      <c r="H255" s="155"/>
      <c r="I255" s="42"/>
      <c r="J255" s="78"/>
      <c r="K255" s="78"/>
      <c r="L255" s="78"/>
      <c r="M255" s="78"/>
      <c r="N255" s="78"/>
      <c r="O255" s="78"/>
      <c r="P255" s="78"/>
    </row>
    <row r="256" spans="1:16" s="70" customFormat="1" ht="13.5" customHeight="1">
      <c r="A256" s="158"/>
      <c r="B256" s="130"/>
      <c r="C256" s="130"/>
      <c r="D256" s="43" t="s">
        <v>142</v>
      </c>
      <c r="E256" s="130"/>
      <c r="F256" s="44">
        <v>3307.3</v>
      </c>
      <c r="G256" s="155"/>
      <c r="H256" s="155"/>
      <c r="I256" s="42"/>
      <c r="J256" s="78"/>
      <c r="K256" s="78"/>
      <c r="L256" s="78"/>
      <c r="M256" s="78"/>
      <c r="N256" s="78"/>
      <c r="O256" s="78"/>
      <c r="P256" s="78"/>
    </row>
    <row r="257" spans="1:16" s="70" customFormat="1" ht="13.5" customHeight="1">
      <c r="A257" s="158"/>
      <c r="B257" s="130"/>
      <c r="C257" s="130"/>
      <c r="D257" s="43" t="s">
        <v>141</v>
      </c>
      <c r="E257" s="130"/>
      <c r="F257" s="44">
        <v>3156.9</v>
      </c>
      <c r="G257" s="155"/>
      <c r="H257" s="155"/>
      <c r="I257" s="42"/>
      <c r="J257" s="78"/>
      <c r="K257" s="78"/>
      <c r="L257" s="78"/>
      <c r="M257" s="78"/>
      <c r="N257" s="78"/>
      <c r="O257" s="78"/>
      <c r="P257" s="78"/>
    </row>
    <row r="258" spans="1:16" s="70" customFormat="1" ht="13.5" customHeight="1">
      <c r="A258" s="158"/>
      <c r="B258" s="130"/>
      <c r="C258" s="130"/>
      <c r="D258" s="43" t="s">
        <v>140</v>
      </c>
      <c r="E258" s="130"/>
      <c r="F258" s="44">
        <v>2958.7</v>
      </c>
      <c r="G258" s="155"/>
      <c r="H258" s="155"/>
      <c r="I258" s="42"/>
      <c r="J258" s="78"/>
      <c r="K258" s="78"/>
      <c r="L258" s="78"/>
      <c r="M258" s="78"/>
      <c r="N258" s="78"/>
      <c r="O258" s="78"/>
      <c r="P258" s="78"/>
    </row>
    <row r="259" spans="1:16" s="70" customFormat="1" ht="13.5" customHeight="1">
      <c r="A259" s="158"/>
      <c r="B259" s="130"/>
      <c r="C259" s="130"/>
      <c r="D259" s="43" t="s">
        <v>139</v>
      </c>
      <c r="E259" s="130"/>
      <c r="F259" s="44">
        <v>1739.2</v>
      </c>
      <c r="G259" s="155"/>
      <c r="H259" s="155"/>
      <c r="I259" s="42"/>
      <c r="J259" s="78"/>
      <c r="K259" s="78"/>
      <c r="L259" s="78"/>
      <c r="M259" s="78"/>
      <c r="N259" s="78"/>
      <c r="O259" s="78"/>
      <c r="P259" s="78"/>
    </row>
    <row r="260" spans="1:16" s="70" customFormat="1" ht="13.5" customHeight="1">
      <c r="A260" s="158"/>
      <c r="B260" s="130"/>
      <c r="C260" s="130"/>
      <c r="D260" s="43" t="s">
        <v>138</v>
      </c>
      <c r="E260" s="130"/>
      <c r="F260" s="44">
        <v>168.1</v>
      </c>
      <c r="G260" s="155"/>
      <c r="H260" s="155"/>
      <c r="I260" s="42"/>
      <c r="J260" s="78"/>
      <c r="K260" s="78"/>
      <c r="L260" s="78"/>
      <c r="M260" s="78"/>
      <c r="N260" s="78"/>
      <c r="O260" s="78"/>
      <c r="P260" s="78"/>
    </row>
    <row r="261" spans="1:16" s="2" customFormat="1" ht="39" customHeight="1">
      <c r="A261" s="174" t="s">
        <v>102</v>
      </c>
      <c r="B261" s="130">
        <v>121</v>
      </c>
      <c r="C261" s="130" t="s">
        <v>191</v>
      </c>
      <c r="D261" s="130" t="s">
        <v>1006</v>
      </c>
      <c r="E261" s="130" t="s">
        <v>21</v>
      </c>
      <c r="F261" s="159">
        <f>F263</f>
        <v>5328.6</v>
      </c>
      <c r="G261" s="155"/>
      <c r="H261" s="155">
        <f>F261*G261</f>
        <v>0</v>
      </c>
      <c r="I261" s="42" t="s">
        <v>109</v>
      </c>
    </row>
    <row r="262" spans="1:16" s="2" customFormat="1" ht="13.5" customHeight="1">
      <c r="A262" s="174"/>
      <c r="B262" s="131"/>
      <c r="C262" s="130"/>
      <c r="D262" s="43" t="s">
        <v>193</v>
      </c>
      <c r="E262" s="130"/>
      <c r="F262" s="44"/>
      <c r="G262" s="155"/>
      <c r="H262" s="155"/>
      <c r="I262" s="42"/>
    </row>
    <row r="263" spans="1:16" s="2" customFormat="1" ht="25.5" customHeight="1">
      <c r="A263" s="174"/>
      <c r="B263" s="131"/>
      <c r="C263" s="130"/>
      <c r="D263" s="43" t="s">
        <v>194</v>
      </c>
      <c r="E263" s="130"/>
      <c r="F263" s="44">
        <f>2299.9+1543.7+445.9+459.6+264.2+315.3</f>
        <v>5328.6</v>
      </c>
      <c r="G263" s="155"/>
      <c r="H263" s="155"/>
      <c r="I263" s="42"/>
    </row>
    <row r="264" spans="1:16" s="2" customFormat="1" ht="38.25" customHeight="1">
      <c r="A264" s="158"/>
      <c r="B264" s="130"/>
      <c r="C264" s="130"/>
      <c r="D264" s="43" t="s">
        <v>1007</v>
      </c>
      <c r="E264" s="130"/>
      <c r="F264" s="44"/>
      <c r="G264" s="155"/>
      <c r="H264" s="155"/>
      <c r="I264" s="175"/>
    </row>
    <row r="265" spans="1:16" s="2" customFormat="1" ht="26.25" customHeight="1">
      <c r="A265" s="174" t="s">
        <v>103</v>
      </c>
      <c r="B265" s="130">
        <v>121</v>
      </c>
      <c r="C265" s="130" t="s">
        <v>189</v>
      </c>
      <c r="D265" s="130" t="s">
        <v>691</v>
      </c>
      <c r="E265" s="130" t="s">
        <v>21</v>
      </c>
      <c r="F265" s="159">
        <f>SUM(F266:F266)</f>
        <v>295.59999999999997</v>
      </c>
      <c r="G265" s="155"/>
      <c r="H265" s="155">
        <f>F265*G265</f>
        <v>0</v>
      </c>
      <c r="I265" s="42" t="s">
        <v>109</v>
      </c>
    </row>
    <row r="266" spans="1:16" s="2" customFormat="1" ht="26.25" customHeight="1">
      <c r="A266" s="174"/>
      <c r="B266" s="131"/>
      <c r="C266" s="130"/>
      <c r="D266" s="43" t="s">
        <v>192</v>
      </c>
      <c r="E266" s="130"/>
      <c r="F266" s="44">
        <f xml:space="preserve"> (92.4+28.7+14.4+20.7+21.4+18.7+17.2+14.5+28.7+6.4+26.1+6.4)*1</f>
        <v>295.59999999999997</v>
      </c>
      <c r="G266" s="155"/>
      <c r="H266" s="155"/>
      <c r="I266" s="42"/>
    </row>
    <row r="267" spans="1:16" s="70" customFormat="1" ht="13.5" customHeight="1">
      <c r="A267" s="174"/>
      <c r="B267" s="131"/>
      <c r="C267" s="130"/>
      <c r="D267" s="43" t="s">
        <v>186</v>
      </c>
      <c r="E267" s="130"/>
      <c r="F267" s="165"/>
      <c r="G267" s="155"/>
      <c r="H267" s="155"/>
      <c r="I267" s="68"/>
      <c r="J267" s="46"/>
      <c r="K267" s="120"/>
    </row>
    <row r="268" spans="1:16" s="70" customFormat="1" ht="13.5" customHeight="1">
      <c r="A268" s="174"/>
      <c r="B268" s="131"/>
      <c r="C268" s="130"/>
      <c r="D268" s="43" t="s">
        <v>187</v>
      </c>
      <c r="E268" s="130"/>
      <c r="F268" s="165"/>
      <c r="G268" s="155"/>
      <c r="H268" s="155"/>
      <c r="I268" s="68"/>
      <c r="J268" s="120"/>
      <c r="K268" s="120"/>
    </row>
    <row r="269" spans="1:16" s="70" customFormat="1" ht="13.5" customHeight="1">
      <c r="A269" s="174"/>
      <c r="B269" s="131"/>
      <c r="C269" s="130"/>
      <c r="D269" s="43" t="s">
        <v>188</v>
      </c>
      <c r="E269" s="130"/>
      <c r="F269" s="165"/>
      <c r="G269" s="155"/>
      <c r="H269" s="155"/>
      <c r="I269" s="68"/>
    </row>
    <row r="270" spans="1:16" s="2" customFormat="1" ht="26.25" customHeight="1">
      <c r="A270" s="158"/>
      <c r="B270" s="130"/>
      <c r="C270" s="130"/>
      <c r="D270" s="43" t="s">
        <v>692</v>
      </c>
      <c r="E270" s="130"/>
      <c r="F270" s="44"/>
      <c r="G270" s="155"/>
      <c r="H270" s="155"/>
      <c r="I270" s="175"/>
    </row>
    <row r="271" spans="1:16" s="12" customFormat="1" ht="13.5" customHeight="1">
      <c r="A271" s="158">
        <v>67</v>
      </c>
      <c r="B271" s="131" t="s">
        <v>474</v>
      </c>
      <c r="C271" s="130" t="s">
        <v>790</v>
      </c>
      <c r="D271" s="130" t="s">
        <v>475</v>
      </c>
      <c r="E271" s="130" t="s">
        <v>21</v>
      </c>
      <c r="F271" s="159">
        <f>SUM(F274:F280)</f>
        <v>333.29999999999995</v>
      </c>
      <c r="G271" s="155"/>
      <c r="H271" s="155">
        <f>F271*G271</f>
        <v>0</v>
      </c>
      <c r="I271" s="42" t="s">
        <v>109</v>
      </c>
    </row>
    <row r="272" spans="1:16" s="12" customFormat="1" ht="25.5" customHeight="1">
      <c r="A272" s="158"/>
      <c r="B272" s="130"/>
      <c r="C272" s="130"/>
      <c r="D272" s="43" t="s">
        <v>477</v>
      </c>
      <c r="E272" s="130"/>
      <c r="F272" s="44"/>
      <c r="G272" s="155"/>
      <c r="H272" s="155"/>
      <c r="I272" s="42"/>
    </row>
    <row r="273" spans="1:16" s="12" customFormat="1" ht="23.25" customHeight="1">
      <c r="A273" s="158"/>
      <c r="B273" s="130"/>
      <c r="C273" s="130"/>
      <c r="D273" s="43" t="s">
        <v>476</v>
      </c>
      <c r="E273" s="130"/>
      <c r="F273" s="44"/>
      <c r="G273" s="155"/>
      <c r="H273" s="155"/>
      <c r="I273" s="42"/>
    </row>
    <row r="274" spans="1:16" s="2" customFormat="1" ht="13.5" customHeight="1">
      <c r="A274" s="174"/>
      <c r="B274" s="131"/>
      <c r="C274" s="130"/>
      <c r="D274" s="43" t="s">
        <v>478</v>
      </c>
      <c r="E274" s="130"/>
      <c r="F274" s="44">
        <v>20</v>
      </c>
      <c r="G274" s="155"/>
      <c r="H274" s="155"/>
      <c r="I274" s="42"/>
    </row>
    <row r="275" spans="1:16" s="2" customFormat="1" ht="13.5" customHeight="1">
      <c r="A275" s="174"/>
      <c r="B275" s="131"/>
      <c r="C275" s="130"/>
      <c r="D275" s="43" t="s">
        <v>488</v>
      </c>
      <c r="E275" s="130"/>
      <c r="F275" s="44">
        <v>57.9</v>
      </c>
      <c r="G275" s="155"/>
      <c r="H275" s="155"/>
      <c r="I275" s="42"/>
    </row>
    <row r="276" spans="1:16" s="2" customFormat="1" ht="13.5" customHeight="1">
      <c r="A276" s="174"/>
      <c r="B276" s="131"/>
      <c r="C276" s="130"/>
      <c r="D276" s="43" t="s">
        <v>595</v>
      </c>
      <c r="E276" s="130"/>
      <c r="F276" s="44">
        <v>70.5</v>
      </c>
      <c r="G276" s="155"/>
      <c r="H276" s="155"/>
      <c r="I276" s="42"/>
    </row>
    <row r="277" spans="1:16" s="2" customFormat="1" ht="13.5" customHeight="1">
      <c r="A277" s="174"/>
      <c r="B277" s="131"/>
      <c r="C277" s="130"/>
      <c r="D277" s="43" t="s">
        <v>596</v>
      </c>
      <c r="E277" s="130"/>
      <c r="F277" s="44">
        <v>72.099999999999994</v>
      </c>
      <c r="G277" s="155"/>
      <c r="H277" s="155"/>
      <c r="I277" s="42"/>
    </row>
    <row r="278" spans="1:16" s="2" customFormat="1" ht="13.5" customHeight="1">
      <c r="A278" s="174"/>
      <c r="B278" s="131"/>
      <c r="C278" s="130"/>
      <c r="D278" s="43" t="s">
        <v>597</v>
      </c>
      <c r="E278" s="130"/>
      <c r="F278" s="44">
        <v>73</v>
      </c>
      <c r="G278" s="155"/>
      <c r="H278" s="155"/>
      <c r="I278" s="42"/>
    </row>
    <row r="279" spans="1:16" s="2" customFormat="1" ht="13.5" customHeight="1">
      <c r="A279" s="174"/>
      <c r="B279" s="131"/>
      <c r="C279" s="130"/>
      <c r="D279" s="43" t="s">
        <v>598</v>
      </c>
      <c r="E279" s="130"/>
      <c r="F279" s="44">
        <v>18.899999999999999</v>
      </c>
      <c r="G279" s="155"/>
      <c r="H279" s="155"/>
      <c r="I279" s="42"/>
    </row>
    <row r="280" spans="1:16" s="2" customFormat="1" ht="13.5" customHeight="1">
      <c r="A280" s="174"/>
      <c r="B280" s="131"/>
      <c r="C280" s="130"/>
      <c r="D280" s="43" t="s">
        <v>599</v>
      </c>
      <c r="E280" s="130"/>
      <c r="F280" s="44">
        <v>20.9</v>
      </c>
      <c r="G280" s="155"/>
      <c r="H280" s="155"/>
      <c r="I280" s="42"/>
    </row>
    <row r="281" spans="1:16" s="70" customFormat="1" ht="13.5" customHeight="1">
      <c r="A281" s="158">
        <v>68</v>
      </c>
      <c r="B281" s="131" t="s">
        <v>80</v>
      </c>
      <c r="C281" s="130">
        <v>632451023</v>
      </c>
      <c r="D281" s="130" t="s">
        <v>791</v>
      </c>
      <c r="E281" s="130" t="s">
        <v>21</v>
      </c>
      <c r="F281" s="163">
        <f>F282+F283</f>
        <v>19.295999999999999</v>
      </c>
      <c r="G281" s="155"/>
      <c r="H281" s="155">
        <f>F281*G281</f>
        <v>0</v>
      </c>
      <c r="I281" s="42" t="s">
        <v>105</v>
      </c>
      <c r="J281" s="78"/>
      <c r="K281" s="78"/>
      <c r="L281" s="78"/>
      <c r="M281" s="78"/>
      <c r="N281" s="78"/>
      <c r="O281" s="78"/>
      <c r="P281" s="78"/>
    </row>
    <row r="282" spans="1:16" s="70" customFormat="1" ht="13.5" customHeight="1">
      <c r="A282" s="158"/>
      <c r="B282" s="130"/>
      <c r="C282" s="130"/>
      <c r="D282" s="43" t="s">
        <v>792</v>
      </c>
      <c r="E282" s="130"/>
      <c r="F282" s="44">
        <f>1.35*0.3*24</f>
        <v>9.7200000000000006</v>
      </c>
      <c r="G282" s="155"/>
      <c r="H282" s="155"/>
      <c r="I282" s="42"/>
      <c r="J282" s="78"/>
      <c r="K282" s="78"/>
      <c r="L282" s="78"/>
      <c r="M282" s="78"/>
      <c r="N282" s="78"/>
      <c r="O282" s="78"/>
      <c r="P282" s="78"/>
    </row>
    <row r="283" spans="1:16" s="70" customFormat="1" ht="13.5" customHeight="1">
      <c r="A283" s="158"/>
      <c r="B283" s="130"/>
      <c r="C283" s="130"/>
      <c r="D283" s="43" t="s">
        <v>793</v>
      </c>
      <c r="E283" s="130"/>
      <c r="F283" s="44">
        <f>1.33*0.3*24</f>
        <v>9.5760000000000005</v>
      </c>
      <c r="G283" s="155"/>
      <c r="H283" s="155"/>
      <c r="I283" s="42"/>
      <c r="J283" s="78"/>
      <c r="K283" s="78"/>
      <c r="L283" s="78"/>
      <c r="M283" s="78"/>
      <c r="N283" s="78"/>
      <c r="O283" s="78"/>
      <c r="P283" s="78"/>
    </row>
    <row r="284" spans="1:16" s="2" customFormat="1" ht="13.5" customHeight="1">
      <c r="A284" s="5"/>
      <c r="B284" s="6"/>
      <c r="C284" s="6" t="s">
        <v>61</v>
      </c>
      <c r="D284" s="6" t="s">
        <v>62</v>
      </c>
      <c r="E284" s="6"/>
      <c r="F284" s="7"/>
      <c r="G284" s="8"/>
      <c r="H284" s="8">
        <f>SUM(H285:H347)+H351</f>
        <v>0</v>
      </c>
      <c r="I284" s="11"/>
      <c r="J284" s="12"/>
      <c r="K284" s="65"/>
      <c r="L284" s="12"/>
    </row>
    <row r="285" spans="1:16" s="70" customFormat="1" ht="13.5" customHeight="1">
      <c r="A285" s="158">
        <v>69</v>
      </c>
      <c r="B285" s="131">
        <v>931</v>
      </c>
      <c r="C285" s="130">
        <v>931992111</v>
      </c>
      <c r="D285" s="130" t="s">
        <v>421</v>
      </c>
      <c r="E285" s="130" t="s">
        <v>21</v>
      </c>
      <c r="F285" s="159">
        <f>F286</f>
        <v>2.9700000000000006</v>
      </c>
      <c r="G285" s="155"/>
      <c r="H285" s="155">
        <f>F285*G285</f>
        <v>0</v>
      </c>
      <c r="I285" s="42" t="s">
        <v>105</v>
      </c>
    </row>
    <row r="286" spans="1:16" s="70" customFormat="1" ht="13.5" customHeight="1">
      <c r="A286" s="176"/>
      <c r="B286" s="177"/>
      <c r="C286" s="178"/>
      <c r="D286" s="179" t="s">
        <v>422</v>
      </c>
      <c r="E286" s="178"/>
      <c r="F286" s="180">
        <f>2.7*1.1</f>
        <v>2.9700000000000006</v>
      </c>
      <c r="G286" s="181"/>
      <c r="H286" s="181"/>
      <c r="I286" s="182"/>
    </row>
    <row r="287" spans="1:16" s="70" customFormat="1" ht="13.5" customHeight="1">
      <c r="A287" s="158">
        <v>70</v>
      </c>
      <c r="B287" s="131">
        <v>931</v>
      </c>
      <c r="C287" s="130">
        <v>931994142</v>
      </c>
      <c r="D287" s="130" t="s">
        <v>960</v>
      </c>
      <c r="E287" s="130" t="s">
        <v>55</v>
      </c>
      <c r="F287" s="159">
        <f>F288</f>
        <v>23.1</v>
      </c>
      <c r="G287" s="155"/>
      <c r="H287" s="155">
        <f>F287*G287</f>
        <v>0</v>
      </c>
      <c r="I287" s="42" t="s">
        <v>105</v>
      </c>
    </row>
    <row r="288" spans="1:16" s="70" customFormat="1" ht="13.5" customHeight="1">
      <c r="A288" s="176"/>
      <c r="B288" s="177"/>
      <c r="C288" s="178"/>
      <c r="D288" s="179" t="s">
        <v>423</v>
      </c>
      <c r="E288" s="178"/>
      <c r="F288" s="180">
        <f>21*1.1</f>
        <v>23.1</v>
      </c>
      <c r="G288" s="181"/>
      <c r="H288" s="181"/>
      <c r="I288" s="182"/>
    </row>
    <row r="289" spans="1:12" s="9" customFormat="1" ht="26.25" customHeight="1">
      <c r="A289" s="158">
        <v>71</v>
      </c>
      <c r="B289" s="131" t="s">
        <v>48</v>
      </c>
      <c r="C289" s="130">
        <v>941111122</v>
      </c>
      <c r="D289" s="130" t="s">
        <v>145</v>
      </c>
      <c r="E289" s="130" t="s">
        <v>21</v>
      </c>
      <c r="F289" s="159">
        <f>F291+F292</f>
        <v>4910.8329999999996</v>
      </c>
      <c r="G289" s="167"/>
      <c r="H289" s="155">
        <f>F289*G289</f>
        <v>0</v>
      </c>
      <c r="I289" s="42" t="s">
        <v>105</v>
      </c>
      <c r="J289" s="63"/>
      <c r="K289" s="66"/>
    </row>
    <row r="290" spans="1:12" s="10" customFormat="1" ht="27" customHeight="1">
      <c r="A290" s="158"/>
      <c r="B290" s="131"/>
      <c r="C290" s="130"/>
      <c r="D290" s="43" t="s">
        <v>49</v>
      </c>
      <c r="E290" s="130"/>
      <c r="F290" s="44"/>
      <c r="G290" s="155"/>
      <c r="H290" s="155"/>
      <c r="I290" s="183"/>
      <c r="J290" s="63"/>
      <c r="K290" s="66"/>
      <c r="L290" s="9"/>
    </row>
    <row r="291" spans="1:12" s="2" customFormat="1" ht="25.5" customHeight="1">
      <c r="A291" s="5"/>
      <c r="B291" s="6"/>
      <c r="C291" s="6"/>
      <c r="D291" s="135" t="s">
        <v>169</v>
      </c>
      <c r="E291" s="6"/>
      <c r="F291" s="44">
        <f>(92.4+1*2+28.7+1*2+14.4+1*2+20.7+1+21.4+18.7+17.2+1*1+14.5+1*2+28.7+1*2)*(14.71+0.52)</f>
        <v>4092.3009999999999</v>
      </c>
      <c r="G291" s="8"/>
      <c r="H291" s="8"/>
      <c r="I291" s="45"/>
      <c r="J291" s="63"/>
      <c r="K291" s="66"/>
      <c r="L291" s="12"/>
    </row>
    <row r="292" spans="1:12" s="2" customFormat="1" ht="13.5" customHeight="1">
      <c r="A292" s="5"/>
      <c r="B292" s="6"/>
      <c r="C292" s="6"/>
      <c r="D292" s="135" t="s">
        <v>146</v>
      </c>
      <c r="E292" s="6"/>
      <c r="F292" s="44">
        <f>(6.4+1*1+26.1+1*2+6.4+1*1)*(18.56+0.52)</f>
        <v>818.53199999999993</v>
      </c>
      <c r="G292" s="8"/>
      <c r="H292" s="8"/>
      <c r="I292" s="45"/>
      <c r="J292" s="63"/>
      <c r="K292" s="66"/>
      <c r="L292" s="12"/>
    </row>
    <row r="293" spans="1:12" s="2" customFormat="1" ht="23.25" customHeight="1">
      <c r="A293" s="158">
        <v>72</v>
      </c>
      <c r="B293" s="130">
        <v>941</v>
      </c>
      <c r="C293" s="130">
        <v>941111222</v>
      </c>
      <c r="D293" s="130" t="s">
        <v>147</v>
      </c>
      <c r="E293" s="130" t="s">
        <v>21</v>
      </c>
      <c r="F293" s="159">
        <f>F294</f>
        <v>883949.4</v>
      </c>
      <c r="G293" s="155"/>
      <c r="H293" s="155">
        <f>F293*G293</f>
        <v>0</v>
      </c>
      <c r="I293" s="42" t="s">
        <v>105</v>
      </c>
      <c r="J293" s="12"/>
      <c r="K293" s="12"/>
      <c r="L293" s="12"/>
    </row>
    <row r="294" spans="1:12" s="10" customFormat="1" ht="13.5" customHeight="1">
      <c r="A294" s="158"/>
      <c r="B294" s="131"/>
      <c r="C294" s="130"/>
      <c r="D294" s="43" t="s">
        <v>170</v>
      </c>
      <c r="E294" s="130"/>
      <c r="F294" s="44">
        <f xml:space="preserve"> 4910.83*6*30</f>
        <v>883949.4</v>
      </c>
      <c r="G294" s="155"/>
      <c r="H294" s="155"/>
      <c r="I294" s="11"/>
      <c r="J294" s="9"/>
      <c r="K294" s="9"/>
      <c r="L294" s="9"/>
    </row>
    <row r="295" spans="1:12" s="9" customFormat="1" ht="27" customHeight="1">
      <c r="A295" s="158">
        <v>73</v>
      </c>
      <c r="B295" s="131" t="s">
        <v>48</v>
      </c>
      <c r="C295" s="130">
        <v>941111822</v>
      </c>
      <c r="D295" s="130" t="s">
        <v>148</v>
      </c>
      <c r="E295" s="130" t="s">
        <v>21</v>
      </c>
      <c r="F295" s="159">
        <f>F296</f>
        <v>4910.8329999999996</v>
      </c>
      <c r="G295" s="155"/>
      <c r="H295" s="155">
        <f>F295*G295</f>
        <v>0</v>
      </c>
      <c r="I295" s="42" t="s">
        <v>105</v>
      </c>
      <c r="J295" s="63"/>
      <c r="K295" s="66"/>
    </row>
    <row r="296" spans="1:12" s="10" customFormat="1" ht="27" customHeight="1">
      <c r="A296" s="158"/>
      <c r="B296" s="131"/>
      <c r="C296" s="130"/>
      <c r="D296" s="43" t="s">
        <v>50</v>
      </c>
      <c r="E296" s="130"/>
      <c r="F296" s="44">
        <f>F289</f>
        <v>4910.8329999999996</v>
      </c>
      <c r="G296" s="155"/>
      <c r="H296" s="155"/>
      <c r="I296" s="183"/>
      <c r="J296" s="63"/>
      <c r="K296" s="66"/>
      <c r="L296" s="9"/>
    </row>
    <row r="297" spans="1:12" s="12" customFormat="1" ht="13.5" customHeight="1">
      <c r="A297" s="158">
        <v>74</v>
      </c>
      <c r="B297" s="130">
        <v>944</v>
      </c>
      <c r="C297" s="130">
        <v>944511111</v>
      </c>
      <c r="D297" s="130" t="s">
        <v>51</v>
      </c>
      <c r="E297" s="130" t="s">
        <v>21</v>
      </c>
      <c r="F297" s="159">
        <f>F298+F299</f>
        <v>4910.8329999999996</v>
      </c>
      <c r="G297" s="167"/>
      <c r="H297" s="155">
        <f>F297*G297</f>
        <v>0</v>
      </c>
      <c r="I297" s="42" t="s">
        <v>105</v>
      </c>
      <c r="J297" s="63"/>
      <c r="K297" s="66"/>
    </row>
    <row r="298" spans="1:12" s="2" customFormat="1" ht="27" customHeight="1">
      <c r="A298" s="5"/>
      <c r="B298" s="6"/>
      <c r="C298" s="6"/>
      <c r="D298" s="135" t="s">
        <v>169</v>
      </c>
      <c r="E298" s="6"/>
      <c r="F298" s="44">
        <f>(92.4+1*2+28.7+1*2+14.4+1*2+20.7+1+21.4+18.7+17.2+1*1+14.5+1*2+28.7+1*2)*(14.71+0.52)</f>
        <v>4092.3009999999999</v>
      </c>
      <c r="G298" s="8"/>
      <c r="H298" s="8"/>
      <c r="I298" s="45"/>
      <c r="J298" s="63"/>
      <c r="K298" s="66"/>
      <c r="L298" s="12"/>
    </row>
    <row r="299" spans="1:12" s="2" customFormat="1" ht="13.5" customHeight="1">
      <c r="A299" s="5"/>
      <c r="B299" s="6"/>
      <c r="C299" s="6"/>
      <c r="D299" s="135" t="s">
        <v>146</v>
      </c>
      <c r="E299" s="6"/>
      <c r="F299" s="44">
        <f>(6.4+1*1+26.1+1*2+6.4+1*1)*(18.56+0.52)</f>
        <v>818.53199999999993</v>
      </c>
      <c r="G299" s="8"/>
      <c r="H299" s="8"/>
      <c r="I299" s="45"/>
      <c r="J299" s="63"/>
      <c r="K299" s="66"/>
      <c r="L299" s="12"/>
    </row>
    <row r="300" spans="1:12" s="12" customFormat="1" ht="13.5" customHeight="1">
      <c r="A300" s="158">
        <v>75</v>
      </c>
      <c r="B300" s="130">
        <v>944</v>
      </c>
      <c r="C300" s="130">
        <v>944511211</v>
      </c>
      <c r="D300" s="130" t="s">
        <v>63</v>
      </c>
      <c r="E300" s="130" t="s">
        <v>21</v>
      </c>
      <c r="F300" s="159">
        <f>F301</f>
        <v>883949.4</v>
      </c>
      <c r="G300" s="167"/>
      <c r="H300" s="155">
        <f>F300*G300</f>
        <v>0</v>
      </c>
      <c r="I300" s="42" t="s">
        <v>105</v>
      </c>
      <c r="J300" s="63"/>
      <c r="K300" s="66"/>
    </row>
    <row r="301" spans="1:12" s="10" customFormat="1" ht="13.5" customHeight="1">
      <c r="A301" s="158"/>
      <c r="B301" s="131"/>
      <c r="C301" s="130"/>
      <c r="D301" s="43" t="s">
        <v>171</v>
      </c>
      <c r="E301" s="130"/>
      <c r="F301" s="44">
        <f>4910.83*6*30</f>
        <v>883949.4</v>
      </c>
      <c r="G301" s="155"/>
      <c r="H301" s="155"/>
      <c r="I301" s="11"/>
      <c r="J301" s="9"/>
      <c r="K301" s="9"/>
      <c r="L301" s="9"/>
    </row>
    <row r="302" spans="1:12" s="12" customFormat="1" ht="13.5" customHeight="1">
      <c r="A302" s="158">
        <v>76</v>
      </c>
      <c r="B302" s="130">
        <v>944</v>
      </c>
      <c r="C302" s="130">
        <v>944511811</v>
      </c>
      <c r="D302" s="130" t="s">
        <v>52</v>
      </c>
      <c r="E302" s="130" t="s">
        <v>21</v>
      </c>
      <c r="F302" s="159">
        <f>F297</f>
        <v>4910.8329999999996</v>
      </c>
      <c r="G302" s="155"/>
      <c r="H302" s="155">
        <f>F302*G302</f>
        <v>0</v>
      </c>
      <c r="I302" s="42" t="s">
        <v>105</v>
      </c>
      <c r="J302" s="63"/>
      <c r="K302" s="66"/>
    </row>
    <row r="303" spans="1:12" s="9" customFormat="1" ht="13.5" customHeight="1">
      <c r="A303" s="158">
        <v>77</v>
      </c>
      <c r="B303" s="131" t="s">
        <v>53</v>
      </c>
      <c r="C303" s="130">
        <v>944711114</v>
      </c>
      <c r="D303" s="130" t="s">
        <v>54</v>
      </c>
      <c r="E303" s="130" t="s">
        <v>55</v>
      </c>
      <c r="F303" s="159">
        <f>F304</f>
        <v>5</v>
      </c>
      <c r="G303" s="167"/>
      <c r="H303" s="155">
        <f>F303*G303</f>
        <v>0</v>
      </c>
      <c r="I303" s="42" t="s">
        <v>105</v>
      </c>
      <c r="J303" s="63"/>
      <c r="K303" s="66"/>
    </row>
    <row r="304" spans="1:12" s="10" customFormat="1" ht="13.5" customHeight="1">
      <c r="A304" s="158"/>
      <c r="B304" s="131"/>
      <c r="C304" s="130"/>
      <c r="D304" s="43" t="s">
        <v>149</v>
      </c>
      <c r="E304" s="130"/>
      <c r="F304" s="44">
        <f>2.5*2</f>
        <v>5</v>
      </c>
      <c r="G304" s="155"/>
      <c r="H304" s="155"/>
      <c r="I304" s="11"/>
      <c r="J304" s="9"/>
      <c r="K304" s="9"/>
      <c r="L304" s="9"/>
    </row>
    <row r="305" spans="1:12" s="12" customFormat="1" ht="13.5" customHeight="1">
      <c r="A305" s="158">
        <v>78</v>
      </c>
      <c r="B305" s="130">
        <v>944</v>
      </c>
      <c r="C305" s="130">
        <v>944711214</v>
      </c>
      <c r="D305" s="130" t="s">
        <v>64</v>
      </c>
      <c r="E305" s="130" t="s">
        <v>55</v>
      </c>
      <c r="F305" s="159">
        <f>F306</f>
        <v>900</v>
      </c>
      <c r="G305" s="167"/>
      <c r="H305" s="155">
        <f>F305*G305</f>
        <v>0</v>
      </c>
      <c r="I305" s="42" t="s">
        <v>105</v>
      </c>
      <c r="J305" s="63"/>
      <c r="K305" s="66"/>
    </row>
    <row r="306" spans="1:12" s="10" customFormat="1" ht="13.5" customHeight="1">
      <c r="A306" s="158"/>
      <c r="B306" s="131"/>
      <c r="C306" s="130"/>
      <c r="D306" s="43" t="s">
        <v>150</v>
      </c>
      <c r="E306" s="130"/>
      <c r="F306" s="44">
        <f xml:space="preserve"> 5*6*30</f>
        <v>900</v>
      </c>
      <c r="G306" s="155"/>
      <c r="H306" s="155"/>
      <c r="I306" s="11"/>
      <c r="J306" s="9"/>
      <c r="K306" s="9"/>
      <c r="L306" s="9"/>
    </row>
    <row r="307" spans="1:12" s="9" customFormat="1" ht="13.5" customHeight="1">
      <c r="A307" s="158">
        <v>79</v>
      </c>
      <c r="B307" s="131" t="s">
        <v>53</v>
      </c>
      <c r="C307" s="130">
        <v>944711814</v>
      </c>
      <c r="D307" s="130" t="s">
        <v>56</v>
      </c>
      <c r="E307" s="130" t="s">
        <v>55</v>
      </c>
      <c r="F307" s="159">
        <v>5</v>
      </c>
      <c r="G307" s="155"/>
      <c r="H307" s="155">
        <f>F307*G307</f>
        <v>0</v>
      </c>
      <c r="I307" s="42" t="s">
        <v>105</v>
      </c>
    </row>
    <row r="308" spans="1:12" s="2" customFormat="1" ht="24.75" customHeight="1">
      <c r="A308" s="158">
        <v>80</v>
      </c>
      <c r="B308" s="130">
        <v>949</v>
      </c>
      <c r="C308" s="130">
        <v>949101112</v>
      </c>
      <c r="D308" s="130" t="s">
        <v>57</v>
      </c>
      <c r="E308" s="130" t="s">
        <v>21</v>
      </c>
      <c r="F308" s="159">
        <f>SUM(F311:F317)</f>
        <v>7650.77</v>
      </c>
      <c r="G308" s="155"/>
      <c r="H308" s="155">
        <f>F308*G308</f>
        <v>0</v>
      </c>
      <c r="I308" s="42" t="s">
        <v>105</v>
      </c>
      <c r="J308" s="12"/>
      <c r="K308" s="12"/>
      <c r="L308" s="12"/>
    </row>
    <row r="309" spans="1:12" s="2" customFormat="1" ht="13.5" customHeight="1">
      <c r="A309" s="5"/>
      <c r="B309" s="184"/>
      <c r="C309" s="6"/>
      <c r="D309" s="43" t="s">
        <v>58</v>
      </c>
      <c r="E309" s="6"/>
      <c r="F309" s="44"/>
      <c r="G309" s="8"/>
      <c r="H309" s="8"/>
      <c r="I309" s="45"/>
      <c r="J309" s="12"/>
      <c r="K309" s="12"/>
      <c r="L309" s="12"/>
    </row>
    <row r="310" spans="1:12" s="2" customFormat="1" ht="13.5" customHeight="1">
      <c r="A310" s="5"/>
      <c r="B310" s="184"/>
      <c r="C310" s="6"/>
      <c r="D310" s="43" t="s">
        <v>59</v>
      </c>
      <c r="E310" s="6"/>
      <c r="F310" s="44"/>
      <c r="G310" s="8"/>
      <c r="H310" s="8"/>
      <c r="I310" s="45"/>
      <c r="J310" s="12"/>
      <c r="K310" s="12"/>
      <c r="L310" s="12"/>
    </row>
    <row r="311" spans="1:12" s="12" customFormat="1" ht="13.5" customHeight="1">
      <c r="A311" s="158"/>
      <c r="B311" s="131"/>
      <c r="C311" s="130"/>
      <c r="D311" s="43" t="s">
        <v>151</v>
      </c>
      <c r="E311" s="130"/>
      <c r="F311" s="44">
        <v>229.9</v>
      </c>
      <c r="G311" s="155"/>
      <c r="H311" s="155"/>
      <c r="I311" s="42"/>
    </row>
    <row r="312" spans="1:12" s="12" customFormat="1" ht="51" customHeight="1">
      <c r="A312" s="158"/>
      <c r="B312" s="131"/>
      <c r="C312" s="130"/>
      <c r="D312" s="43" t="s">
        <v>485</v>
      </c>
      <c r="E312" s="130"/>
      <c r="F312" s="44">
        <f>71.55+10.01+41.48+50.22+37.68+18.12+18.86+5.19+11.27+3.31+11.28+3.31+17.81+27.06+33.35+33.04+45.13+75.62+38.29+86.96+18.54+230.05+80.69+12.35+2.69+2.69+6.95+6.3+7.97+70.18+8.41+14.17+10.06+2.21+15.79+8.45+2.89+2+1.58+1.96+1.58+3.12+8.35</f>
        <v>1158.52</v>
      </c>
      <c r="G312" s="155"/>
      <c r="H312" s="155"/>
      <c r="I312" s="42"/>
    </row>
    <row r="313" spans="1:12" s="12" customFormat="1" ht="54" customHeight="1">
      <c r="A313" s="158"/>
      <c r="B313" s="131"/>
      <c r="C313" s="130"/>
      <c r="D313" s="43" t="s">
        <v>542</v>
      </c>
      <c r="E313" s="130"/>
      <c r="F313" s="44">
        <f>84.75+22.64+16.78+37.79+37.66+23.73+21.71+33.87+33.37+22.22+23.46+77.73+40.44+90.13+106.57+119.15+136.91+2.89+2.69+13.57+16.4+9.32+9.12+13.92+110.53+10.05+7.96+16.86+18.02+13.85+38.14+43.08+22.49+85.63+19.37+14.06+3.12+8.35</f>
        <v>1408.3299999999995</v>
      </c>
      <c r="G313" s="155"/>
      <c r="H313" s="155"/>
      <c r="I313" s="42"/>
    </row>
    <row r="314" spans="1:12" s="12" customFormat="1" ht="52.5" customHeight="1">
      <c r="A314" s="158"/>
      <c r="B314" s="131"/>
      <c r="C314" s="130"/>
      <c r="D314" s="43" t="s">
        <v>614</v>
      </c>
      <c r="E314" s="130"/>
      <c r="F314" s="44">
        <f>59.68+26.74+40.89+78.99+23.06+22.17+33.9+33.05+22.26+23.51+78.89+41.06+27.47+65.04+48.33+110.03+121.77+94.02+13.33+2.89+2.69+14.11+16.94+9.5+9.63+14.93+35.91+16.53+129.74+106.67+105.91+3.12+8.35</f>
        <v>1441.1100000000001</v>
      </c>
      <c r="G314" s="155"/>
      <c r="H314" s="155"/>
      <c r="I314" s="42"/>
    </row>
    <row r="315" spans="1:12" s="12" customFormat="1" ht="54.75" customHeight="1">
      <c r="A315" s="158"/>
      <c r="B315" s="131"/>
      <c r="C315" s="130"/>
      <c r="D315" s="43" t="s">
        <v>639</v>
      </c>
      <c r="E315" s="130"/>
      <c r="F315" s="44">
        <f>57.65+28.26+49.33+60.32+47.08+69.72+21.77+124.32+61.27+31.42+110.12+121.94+145.36+12.88+2.88+2.69+14.73+19.5+7.73+9.44+15.15+19.98+16.95+17.3+132.77+106.36+107.17+10.7+23.64+3.12+8.35</f>
        <v>1459.9</v>
      </c>
      <c r="G315" s="155"/>
      <c r="H315" s="155"/>
      <c r="I315" s="42"/>
    </row>
    <row r="316" spans="1:12" s="12" customFormat="1" ht="37.5" customHeight="1">
      <c r="A316" s="158"/>
      <c r="B316" s="131"/>
      <c r="C316" s="130"/>
      <c r="D316" s="43" t="s">
        <v>693</v>
      </c>
      <c r="E316" s="130"/>
      <c r="F316" s="44">
        <f>44.64+18.85+33.77+18.51+21.53+21.11+16.73+12.73+2.93+2.69+14.55+83.64+37.07+19.89+16.82+562.62+596.32+3.12+8.35</f>
        <v>1535.87</v>
      </c>
      <c r="G316" s="155"/>
      <c r="H316" s="155"/>
      <c r="I316" s="42"/>
    </row>
    <row r="317" spans="1:12" s="12" customFormat="1" ht="13.5" customHeight="1">
      <c r="A317" s="158"/>
      <c r="B317" s="131"/>
      <c r="C317" s="130"/>
      <c r="D317" s="43" t="s">
        <v>748</v>
      </c>
      <c r="E317" s="130"/>
      <c r="F317" s="44">
        <f>16.23+400.91</f>
        <v>417.14000000000004</v>
      </c>
      <c r="G317" s="155"/>
      <c r="H317" s="155"/>
      <c r="I317" s="42"/>
    </row>
    <row r="318" spans="1:12" s="12" customFormat="1" ht="13.5" customHeight="1">
      <c r="A318" s="158">
        <v>81</v>
      </c>
      <c r="B318" s="130">
        <v>952</v>
      </c>
      <c r="C318" s="130">
        <v>952901111</v>
      </c>
      <c r="D318" s="130" t="s">
        <v>60</v>
      </c>
      <c r="E318" s="130" t="s">
        <v>21</v>
      </c>
      <c r="F318" s="159">
        <f>SUM(F319:F325)</f>
        <v>7650.77</v>
      </c>
      <c r="G318" s="155"/>
      <c r="H318" s="155">
        <f>F318*G318</f>
        <v>0</v>
      </c>
      <c r="I318" s="42" t="s">
        <v>105</v>
      </c>
    </row>
    <row r="319" spans="1:12" s="12" customFormat="1" ht="13.5" customHeight="1">
      <c r="A319" s="158"/>
      <c r="B319" s="131"/>
      <c r="C319" s="130"/>
      <c r="D319" s="43" t="s">
        <v>152</v>
      </c>
      <c r="E319" s="130"/>
      <c r="F319" s="44">
        <v>229.9</v>
      </c>
      <c r="G319" s="155"/>
      <c r="H319" s="155"/>
      <c r="I319" s="42"/>
    </row>
    <row r="320" spans="1:12" s="12" customFormat="1" ht="54.75" customHeight="1">
      <c r="A320" s="158"/>
      <c r="B320" s="131"/>
      <c r="C320" s="130"/>
      <c r="D320" s="43" t="s">
        <v>486</v>
      </c>
      <c r="E320" s="130"/>
      <c r="F320" s="44">
        <f>71.55+10.01+41.48+50.22+37.68+18.12+18.86+5.19+11.27+3.31+11.28+3.31+17.81+27.06+33.35+33.04+45.13+75.62+38.29+86.96+18.54+230.05+80.69+12.35+2.69+2.69+6.95+6.3+7.97+70.18+8.41+14.17+10.06+2.21+15.79+8.45+2.89+2+1.58+1.96+1.58+3.12+8.35</f>
        <v>1158.52</v>
      </c>
      <c r="G320" s="155"/>
      <c r="H320" s="155"/>
      <c r="I320" s="42"/>
    </row>
    <row r="321" spans="1:12" s="2" customFormat="1" ht="53.25" customHeight="1">
      <c r="A321" s="5"/>
      <c r="B321" s="184"/>
      <c r="C321" s="6"/>
      <c r="D321" s="43" t="s">
        <v>600</v>
      </c>
      <c r="E321" s="6"/>
      <c r="F321" s="44">
        <f>84.75+22.64+16.78+37.79+37.66+23.73+21.71+33.87+33.37+22.22+23.46+77.73+40.44+90.13+106.57+119.15+136.91+2.89+2.69+13.57+16.4+9.32+9.12+13.92+110.53+10.05+7.96+16.86+18.02+13.85+38.14+43.08+22.49+85.63+19.37+14.06+3.12+8.35</f>
        <v>1408.3299999999995</v>
      </c>
      <c r="G321" s="8"/>
      <c r="H321" s="8"/>
      <c r="I321" s="45"/>
      <c r="J321" s="12"/>
      <c r="K321" s="12"/>
      <c r="L321" s="12"/>
    </row>
    <row r="322" spans="1:12" s="12" customFormat="1" ht="50.25" customHeight="1">
      <c r="A322" s="158"/>
      <c r="B322" s="131"/>
      <c r="C322" s="130"/>
      <c r="D322" s="43" t="s">
        <v>615</v>
      </c>
      <c r="E322" s="130"/>
      <c r="F322" s="44">
        <f>59.68+26.74+40.89+78.99+23.06+22.17+33.9+33.05+22.26+23.51+78.89+41.06+27.47+65.04+48.33+110.03+121.77+94.02+13.33+2.89+2.69+14.11+16.94+9.5+9.63+14.93+35.91+16.53+129.74+106.67+105.91+3.12+8.35</f>
        <v>1441.1100000000001</v>
      </c>
      <c r="G322" s="155"/>
      <c r="H322" s="155"/>
      <c r="I322" s="42"/>
    </row>
    <row r="323" spans="1:12" s="12" customFormat="1" ht="50.25" customHeight="1">
      <c r="A323" s="158"/>
      <c r="B323" s="131"/>
      <c r="C323" s="130"/>
      <c r="D323" s="43" t="s">
        <v>640</v>
      </c>
      <c r="E323" s="130"/>
      <c r="F323" s="44">
        <f>57.65+28.26+49.33+60.32+47.08+69.72+21.77+124.32+61.27+31.42+110.12+121.94+145.36+12.88+2.88+2.69+14.73+19.5+7.73+9.44+15.15+19.98+16.95+17.3+132.77+106.36+107.17+10.7+23.64+3.12+8.35</f>
        <v>1459.9</v>
      </c>
      <c r="G323" s="155"/>
      <c r="H323" s="155"/>
      <c r="I323" s="42"/>
    </row>
    <row r="324" spans="1:12" s="12" customFormat="1" ht="39" customHeight="1">
      <c r="A324" s="158"/>
      <c r="B324" s="131"/>
      <c r="C324" s="130"/>
      <c r="D324" s="43" t="s">
        <v>694</v>
      </c>
      <c r="E324" s="130"/>
      <c r="F324" s="44">
        <f>44.64+18.85+33.77+18.51+21.53+21.11+16.73+12.73+2.93+2.69+14.55+83.64+37.07+19.89+16.82+562.62+596.32+3.12+8.35</f>
        <v>1535.87</v>
      </c>
      <c r="G324" s="155"/>
      <c r="H324" s="155"/>
      <c r="I324" s="42"/>
    </row>
    <row r="325" spans="1:12" s="12" customFormat="1" ht="13.5" customHeight="1">
      <c r="A325" s="158"/>
      <c r="B325" s="131"/>
      <c r="C325" s="130"/>
      <c r="D325" s="43" t="s">
        <v>749</v>
      </c>
      <c r="E325" s="130"/>
      <c r="F325" s="44">
        <f>16.23+400.91</f>
        <v>417.14000000000004</v>
      </c>
      <c r="G325" s="155"/>
      <c r="H325" s="155"/>
      <c r="I325" s="42"/>
    </row>
    <row r="326" spans="1:12" s="12" customFormat="1" ht="13.5" customHeight="1">
      <c r="A326" s="158">
        <v>82</v>
      </c>
      <c r="B326" s="130">
        <v>952</v>
      </c>
      <c r="C326" s="130">
        <v>952902121</v>
      </c>
      <c r="D326" s="130" t="s">
        <v>739</v>
      </c>
      <c r="E326" s="130" t="s">
        <v>21</v>
      </c>
      <c r="F326" s="159">
        <f>F327+F328</f>
        <v>1576.0800000000002</v>
      </c>
      <c r="G326" s="155"/>
      <c r="H326" s="155">
        <f>F326*G326</f>
        <v>0</v>
      </c>
      <c r="I326" s="42" t="s">
        <v>105</v>
      </c>
    </row>
    <row r="327" spans="1:12" s="12" customFormat="1" ht="13.5" customHeight="1">
      <c r="A327" s="158"/>
      <c r="B327" s="131"/>
      <c r="C327" s="130"/>
      <c r="D327" s="43" t="s">
        <v>740</v>
      </c>
      <c r="E327" s="130"/>
      <c r="F327" s="44">
        <f>562.62+596.32</f>
        <v>1158.94</v>
      </c>
      <c r="G327" s="155"/>
      <c r="H327" s="155"/>
      <c r="I327" s="42"/>
    </row>
    <row r="328" spans="1:12" s="12" customFormat="1" ht="13.5" customHeight="1">
      <c r="A328" s="158"/>
      <c r="B328" s="131"/>
      <c r="C328" s="130"/>
      <c r="D328" s="43" t="s">
        <v>750</v>
      </c>
      <c r="E328" s="130"/>
      <c r="F328" s="44">
        <f>16.23+400.91</f>
        <v>417.14000000000004</v>
      </c>
      <c r="G328" s="155"/>
      <c r="H328" s="155"/>
      <c r="I328" s="42"/>
    </row>
    <row r="329" spans="1:12" s="12" customFormat="1" ht="13.5" customHeight="1">
      <c r="A329" s="158">
        <v>83</v>
      </c>
      <c r="B329" s="130">
        <v>985</v>
      </c>
      <c r="C329" s="130">
        <v>985142112</v>
      </c>
      <c r="D329" s="130" t="s">
        <v>162</v>
      </c>
      <c r="E329" s="130" t="s">
        <v>21</v>
      </c>
      <c r="F329" s="159">
        <f>F330+F331</f>
        <v>481.65</v>
      </c>
      <c r="G329" s="155"/>
      <c r="H329" s="155">
        <f>F329*G329</f>
        <v>0</v>
      </c>
      <c r="I329" s="42" t="s">
        <v>105</v>
      </c>
    </row>
    <row r="330" spans="1:12" s="12" customFormat="1" ht="13.5" customHeight="1">
      <c r="A330" s="158"/>
      <c r="B330" s="131"/>
      <c r="C330" s="130"/>
      <c r="D330" s="43" t="s">
        <v>163</v>
      </c>
      <c r="E330" s="130"/>
      <c r="F330" s="44">
        <v>162.1</v>
      </c>
      <c r="G330" s="155"/>
      <c r="H330" s="155"/>
      <c r="I330" s="42"/>
    </row>
    <row r="331" spans="1:12" s="12" customFormat="1" ht="40.5" customHeight="1">
      <c r="A331" s="158"/>
      <c r="B331" s="131"/>
      <c r="C331" s="130"/>
      <c r="D331" s="43" t="s">
        <v>190</v>
      </c>
      <c r="E331" s="130"/>
      <c r="F331" s="44">
        <f>(3.1+5.2+3.1+3.4+3.9+4.6+5.5+11.5+5.5+4+4.3+2.5+5.5+5.8+2.5+3.5+3.1+3.4+3.4+5.1+3.1)*2.2+(4+3.9+3.7+3.8+3.7+4.1+3.7+4.9+3.7)*3.3</f>
        <v>319.55</v>
      </c>
      <c r="G331" s="155"/>
      <c r="H331" s="155"/>
      <c r="I331" s="42"/>
    </row>
    <row r="332" spans="1:12" s="12" customFormat="1" ht="13.5" customHeight="1">
      <c r="A332" s="158"/>
      <c r="B332" s="131"/>
      <c r="C332" s="130"/>
      <c r="D332" s="43" t="s">
        <v>166</v>
      </c>
      <c r="E332" s="130"/>
      <c r="F332" s="44"/>
      <c r="G332" s="155"/>
      <c r="H332" s="155"/>
      <c r="I332" s="42"/>
    </row>
    <row r="333" spans="1:12" s="12" customFormat="1" ht="13.5" customHeight="1">
      <c r="A333" s="158">
        <v>84</v>
      </c>
      <c r="B333" s="130">
        <v>985</v>
      </c>
      <c r="C333" s="130">
        <v>985231112</v>
      </c>
      <c r="D333" s="130" t="s">
        <v>164</v>
      </c>
      <c r="E333" s="130" t="s">
        <v>21</v>
      </c>
      <c r="F333" s="159">
        <f>F334+F335</f>
        <v>481.65</v>
      </c>
      <c r="G333" s="155"/>
      <c r="H333" s="155">
        <f>F333*G333</f>
        <v>0</v>
      </c>
      <c r="I333" s="42" t="s">
        <v>105</v>
      </c>
    </row>
    <row r="334" spans="1:12" s="12" customFormat="1" ht="13.5" customHeight="1">
      <c r="A334" s="158"/>
      <c r="B334" s="131"/>
      <c r="C334" s="130"/>
      <c r="D334" s="43" t="s">
        <v>163</v>
      </c>
      <c r="E334" s="130"/>
      <c r="F334" s="44">
        <v>162.1</v>
      </c>
      <c r="G334" s="155"/>
      <c r="H334" s="155"/>
      <c r="I334" s="42"/>
    </row>
    <row r="335" spans="1:12" s="12" customFormat="1" ht="40.5" customHeight="1">
      <c r="A335" s="158"/>
      <c r="B335" s="131"/>
      <c r="C335" s="130"/>
      <c r="D335" s="43" t="s">
        <v>190</v>
      </c>
      <c r="E335" s="130"/>
      <c r="F335" s="44">
        <f>(3.1+5.2+3.1+3.4+3.9+4.6+5.5+11.5+5.5+4+4.3+2.5+5.5+5.8+2.5+3.5+3.1+3.4+3.4+5.1+3.1)*2.2+(4+3.9+3.7+3.8+3.7+4.1+3.7+4.9+3.7)*3.3</f>
        <v>319.55</v>
      </c>
      <c r="G335" s="155"/>
      <c r="H335" s="155"/>
      <c r="I335" s="42"/>
    </row>
    <row r="336" spans="1:12" s="12" customFormat="1" ht="13.5" customHeight="1">
      <c r="A336" s="158">
        <v>85</v>
      </c>
      <c r="B336" s="130">
        <v>985</v>
      </c>
      <c r="C336" s="130">
        <v>985233121</v>
      </c>
      <c r="D336" s="130" t="s">
        <v>165</v>
      </c>
      <c r="E336" s="130" t="s">
        <v>21</v>
      </c>
      <c r="F336" s="159">
        <f>F337+F338</f>
        <v>481.65</v>
      </c>
      <c r="G336" s="155"/>
      <c r="H336" s="155">
        <f>F336*G336</f>
        <v>0</v>
      </c>
      <c r="I336" s="42" t="s">
        <v>105</v>
      </c>
    </row>
    <row r="337" spans="1:25" s="12" customFormat="1" ht="13.5" customHeight="1">
      <c r="A337" s="158"/>
      <c r="B337" s="131"/>
      <c r="C337" s="130"/>
      <c r="D337" s="43" t="s">
        <v>163</v>
      </c>
      <c r="E337" s="130"/>
      <c r="F337" s="44">
        <v>162.1</v>
      </c>
      <c r="G337" s="155"/>
      <c r="H337" s="155"/>
      <c r="I337" s="42"/>
    </row>
    <row r="338" spans="1:25" s="12" customFormat="1" ht="40.5" customHeight="1">
      <c r="A338" s="158"/>
      <c r="B338" s="131"/>
      <c r="C338" s="130"/>
      <c r="D338" s="43" t="s">
        <v>190</v>
      </c>
      <c r="E338" s="130"/>
      <c r="F338" s="44">
        <f>(3.1+5.2+3.1+3.4+3.9+4.6+5.5+11.5+5.5+4+4.3+2.5+5.5+5.8+2.5+3.5+3.1+3.4+3.4+5.1+3.1)*2.2+(4+3.9+3.7+3.8+3.7+4.1+3.7+4.9+3.7)*3.3</f>
        <v>319.55</v>
      </c>
      <c r="G338" s="155"/>
      <c r="H338" s="155"/>
      <c r="I338" s="42"/>
    </row>
    <row r="339" spans="1:25" s="2" customFormat="1" ht="13.5" customHeight="1">
      <c r="A339" s="158">
        <v>86</v>
      </c>
      <c r="B339" s="131" t="s">
        <v>243</v>
      </c>
      <c r="C339" s="130">
        <v>985131111</v>
      </c>
      <c r="D339" s="130" t="s">
        <v>269</v>
      </c>
      <c r="E339" s="130" t="s">
        <v>21</v>
      </c>
      <c r="F339" s="159">
        <f>SUM(F340)</f>
        <v>123.29999999999998</v>
      </c>
      <c r="G339" s="155"/>
      <c r="H339" s="155">
        <f>F339*G339</f>
        <v>0</v>
      </c>
      <c r="I339" s="42" t="s">
        <v>105</v>
      </c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</row>
    <row r="340" spans="1:25" s="2" customFormat="1" ht="13.5" customHeight="1">
      <c r="A340" s="158"/>
      <c r="B340" s="131"/>
      <c r="C340" s="130"/>
      <c r="D340" s="43" t="s">
        <v>270</v>
      </c>
      <c r="E340" s="130"/>
      <c r="F340" s="44">
        <f>71.3+10.1+41.9</f>
        <v>123.29999999999998</v>
      </c>
      <c r="G340" s="155"/>
      <c r="H340" s="155"/>
      <c r="I340" s="4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</row>
    <row r="341" spans="1:25" s="2" customFormat="1" ht="13.5" customHeight="1">
      <c r="A341" s="158">
        <v>87</v>
      </c>
      <c r="B341" s="131" t="s">
        <v>243</v>
      </c>
      <c r="C341" s="130">
        <v>985132311</v>
      </c>
      <c r="D341" s="130" t="s">
        <v>244</v>
      </c>
      <c r="E341" s="130" t="s">
        <v>21</v>
      </c>
      <c r="F341" s="159">
        <f>SUM(F342)</f>
        <v>9.5</v>
      </c>
      <c r="G341" s="155"/>
      <c r="H341" s="155">
        <f>F341*G341</f>
        <v>0</v>
      </c>
      <c r="I341" s="42" t="s">
        <v>105</v>
      </c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</row>
    <row r="342" spans="1:25" s="2" customFormat="1" ht="13.5" customHeight="1">
      <c r="A342" s="158"/>
      <c r="B342" s="131"/>
      <c r="C342" s="130"/>
      <c r="D342" s="43" t="s">
        <v>245</v>
      </c>
      <c r="E342" s="130"/>
      <c r="F342" s="44">
        <f>(4.5+5)*1</f>
        <v>9.5</v>
      </c>
      <c r="G342" s="155"/>
      <c r="H342" s="155"/>
      <c r="I342" s="4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</row>
    <row r="343" spans="1:25" s="70" customFormat="1" ht="13.5" customHeight="1">
      <c r="A343" s="158">
        <v>88</v>
      </c>
      <c r="B343" s="131" t="s">
        <v>410</v>
      </c>
      <c r="C343" s="130" t="s">
        <v>411</v>
      </c>
      <c r="D343" s="130" t="s">
        <v>412</v>
      </c>
      <c r="E343" s="130" t="s">
        <v>27</v>
      </c>
      <c r="F343" s="159">
        <f>F344</f>
        <v>55.5</v>
      </c>
      <c r="G343" s="155"/>
      <c r="H343" s="155">
        <f>F343*G343</f>
        <v>0</v>
      </c>
      <c r="I343" s="42" t="s">
        <v>109</v>
      </c>
    </row>
    <row r="344" spans="1:25" s="70" customFormat="1" ht="13.5" customHeight="1">
      <c r="A344" s="158"/>
      <c r="B344" s="130"/>
      <c r="C344" s="130"/>
      <c r="D344" s="185" t="s">
        <v>413</v>
      </c>
      <c r="E344" s="130"/>
      <c r="F344" s="180">
        <v>55.5</v>
      </c>
      <c r="G344" s="155"/>
      <c r="H344" s="155"/>
      <c r="I344" s="42"/>
    </row>
    <row r="345" spans="1:25" s="12" customFormat="1" ht="13.5" customHeight="1">
      <c r="A345" s="158">
        <v>89</v>
      </c>
      <c r="B345" s="131" t="s">
        <v>410</v>
      </c>
      <c r="C345" s="130" t="s">
        <v>415</v>
      </c>
      <c r="D345" s="130" t="s">
        <v>414</v>
      </c>
      <c r="E345" s="130" t="s">
        <v>27</v>
      </c>
      <c r="F345" s="159">
        <f>F347</f>
        <v>55.5</v>
      </c>
      <c r="G345" s="167">
        <f>SUM(H348:H350)/F345</f>
        <v>0</v>
      </c>
      <c r="H345" s="155">
        <f>F345*G345</f>
        <v>0</v>
      </c>
      <c r="I345" s="42" t="s">
        <v>109</v>
      </c>
      <c r="J345" s="140"/>
      <c r="K345" s="141"/>
      <c r="L345" s="142"/>
      <c r="M345" s="142"/>
      <c r="N345" s="143"/>
      <c r="O345" s="142"/>
      <c r="P345" s="144"/>
      <c r="Q345" s="145"/>
      <c r="R345" s="139"/>
    </row>
    <row r="346" spans="1:25" s="12" customFormat="1" ht="13.5" customHeight="1">
      <c r="A346" s="158"/>
      <c r="B346" s="130"/>
      <c r="C346" s="130"/>
      <c r="D346" s="43" t="s">
        <v>419</v>
      </c>
      <c r="E346" s="130"/>
      <c r="F346" s="44"/>
      <c r="G346" s="155"/>
      <c r="H346" s="155"/>
      <c r="I346" s="42"/>
      <c r="J346" s="138"/>
      <c r="K346" s="115"/>
      <c r="L346" s="116"/>
      <c r="M346" s="116"/>
      <c r="N346" s="106"/>
      <c r="O346" s="116"/>
      <c r="P346" s="117"/>
      <c r="Q346" s="119"/>
      <c r="R346" s="119"/>
    </row>
    <row r="347" spans="1:25" s="12" customFormat="1" ht="13.5" customHeight="1">
      <c r="A347" s="158"/>
      <c r="B347" s="130"/>
      <c r="C347" s="130"/>
      <c r="D347" s="43" t="s">
        <v>420</v>
      </c>
      <c r="E347" s="130"/>
      <c r="F347" s="44">
        <v>55.5</v>
      </c>
      <c r="G347" s="155"/>
      <c r="H347" s="155"/>
      <c r="I347" s="42"/>
      <c r="K347" s="115"/>
      <c r="L347" s="116"/>
      <c r="M347" s="116"/>
      <c r="N347" s="106"/>
      <c r="O347" s="116"/>
      <c r="P347" s="117"/>
      <c r="Q347" s="118"/>
      <c r="R347" s="119"/>
    </row>
    <row r="348" spans="1:25" s="12" customFormat="1" ht="13.5" customHeight="1">
      <c r="A348" s="107" t="s">
        <v>908</v>
      </c>
      <c r="B348" s="71"/>
      <c r="C348" s="71"/>
      <c r="D348" s="127" t="s">
        <v>416</v>
      </c>
      <c r="E348" s="114" t="s">
        <v>27</v>
      </c>
      <c r="F348" s="72">
        <f>F345</f>
        <v>55.5</v>
      </c>
      <c r="G348" s="67"/>
      <c r="H348" s="44">
        <f>F348*G348</f>
        <v>0</v>
      </c>
      <c r="I348" s="42"/>
      <c r="K348" s="115"/>
      <c r="L348" s="116"/>
      <c r="M348" s="116"/>
      <c r="N348" s="106"/>
      <c r="O348" s="116"/>
      <c r="P348" s="117"/>
      <c r="Q348" s="118"/>
      <c r="R348" s="119"/>
    </row>
    <row r="349" spans="1:25" s="12" customFormat="1" ht="13.5" customHeight="1">
      <c r="A349" s="107" t="s">
        <v>909</v>
      </c>
      <c r="B349" s="71"/>
      <c r="C349" s="71"/>
      <c r="D349" s="127" t="s">
        <v>417</v>
      </c>
      <c r="E349" s="114" t="s">
        <v>27</v>
      </c>
      <c r="F349" s="72">
        <f>F348</f>
        <v>55.5</v>
      </c>
      <c r="G349" s="67"/>
      <c r="H349" s="44">
        <f>F349*G349</f>
        <v>0</v>
      </c>
      <c r="I349" s="42"/>
      <c r="K349" s="115"/>
      <c r="L349" s="116"/>
      <c r="M349" s="116"/>
      <c r="N349" s="106"/>
      <c r="O349" s="116"/>
      <c r="P349" s="117"/>
      <c r="Q349" s="119"/>
      <c r="R349" s="119"/>
    </row>
    <row r="350" spans="1:25" s="12" customFormat="1" ht="13.5" customHeight="1">
      <c r="A350" s="107" t="s">
        <v>910</v>
      </c>
      <c r="B350" s="71"/>
      <c r="C350" s="71"/>
      <c r="D350" s="127" t="s">
        <v>418</v>
      </c>
      <c r="E350" s="114" t="s">
        <v>27</v>
      </c>
      <c r="F350" s="72">
        <f>F349</f>
        <v>55.5</v>
      </c>
      <c r="G350" s="67"/>
      <c r="H350" s="44">
        <f>F350*G350</f>
        <v>0</v>
      </c>
      <c r="I350" s="42"/>
      <c r="K350" s="115"/>
      <c r="L350" s="116"/>
      <c r="M350" s="116"/>
      <c r="N350" s="106"/>
      <c r="O350" s="116"/>
      <c r="P350" s="117"/>
      <c r="Q350" s="119"/>
      <c r="R350" s="119"/>
    </row>
    <row r="351" spans="1:25" s="2" customFormat="1" ht="27" customHeight="1">
      <c r="A351" s="191">
        <v>90</v>
      </c>
      <c r="B351" s="192" t="s">
        <v>410</v>
      </c>
      <c r="C351" s="71" t="s">
        <v>961</v>
      </c>
      <c r="D351" s="71" t="s">
        <v>962</v>
      </c>
      <c r="E351" s="71" t="s">
        <v>35</v>
      </c>
      <c r="F351" s="159">
        <f>F352</f>
        <v>11.222</v>
      </c>
      <c r="G351" s="167">
        <f>SUM(H353:H356)/F351</f>
        <v>0</v>
      </c>
      <c r="H351" s="193">
        <f t="shared" ref="H351" si="0">F351*G351</f>
        <v>0</v>
      </c>
      <c r="I351" s="42" t="s">
        <v>109</v>
      </c>
    </row>
    <row r="352" spans="1:25" s="2" customFormat="1" ht="40.5" customHeight="1">
      <c r="A352" s="194"/>
      <c r="B352" s="195"/>
      <c r="C352" s="196"/>
      <c r="D352" s="127" t="s">
        <v>963</v>
      </c>
      <c r="E352" s="127"/>
      <c r="F352" s="197">
        <v>11.222</v>
      </c>
      <c r="G352" s="198"/>
      <c r="H352" s="193"/>
      <c r="I352" s="199"/>
      <c r="J352" s="148"/>
      <c r="K352" s="148"/>
      <c r="L352" s="148"/>
      <c r="M352" s="148"/>
    </row>
    <row r="353" spans="1:25" s="2" customFormat="1" ht="13.5" customHeight="1">
      <c r="A353" s="107" t="s">
        <v>968</v>
      </c>
      <c r="B353" s="195"/>
      <c r="C353" s="196"/>
      <c r="D353" s="43" t="s">
        <v>964</v>
      </c>
      <c r="E353" s="114" t="s">
        <v>35</v>
      </c>
      <c r="F353" s="197">
        <f>F351</f>
        <v>11.222</v>
      </c>
      <c r="G353" s="67"/>
      <c r="H353" s="200">
        <f t="shared" ref="H353:H356" si="1">F353*G353</f>
        <v>0</v>
      </c>
      <c r="I353" s="199"/>
      <c r="J353" s="201"/>
      <c r="K353" s="202"/>
      <c r="L353" s="202"/>
      <c r="M353" s="202"/>
      <c r="N353" s="201"/>
      <c r="O353" s="201"/>
      <c r="P353" s="203"/>
      <c r="Q353" s="201"/>
      <c r="R353" s="201"/>
      <c r="S353" s="201"/>
      <c r="T353" s="201"/>
      <c r="U353" s="201"/>
    </row>
    <row r="354" spans="1:25" s="2" customFormat="1" ht="13.5" customHeight="1">
      <c r="A354" s="107" t="s">
        <v>969</v>
      </c>
      <c r="B354" s="195"/>
      <c r="C354" s="196"/>
      <c r="D354" s="127" t="s">
        <v>965</v>
      </c>
      <c r="E354" s="114" t="s">
        <v>35</v>
      </c>
      <c r="F354" s="197">
        <f>F353</f>
        <v>11.222</v>
      </c>
      <c r="G354" s="67"/>
      <c r="H354" s="200">
        <f t="shared" si="1"/>
        <v>0</v>
      </c>
      <c r="I354" s="199"/>
      <c r="J354" s="201"/>
      <c r="K354" s="202"/>
      <c r="L354" s="202"/>
      <c r="M354" s="202"/>
      <c r="N354" s="201"/>
      <c r="O354" s="201"/>
      <c r="P354" s="203"/>
    </row>
    <row r="355" spans="1:25" s="2" customFormat="1" ht="13.5" customHeight="1">
      <c r="A355" s="107" t="s">
        <v>970</v>
      </c>
      <c r="B355" s="195"/>
      <c r="C355" s="196"/>
      <c r="D355" s="127" t="s">
        <v>966</v>
      </c>
      <c r="E355" s="114" t="s">
        <v>35</v>
      </c>
      <c r="F355" s="197">
        <f>F353</f>
        <v>11.222</v>
      </c>
      <c r="G355" s="67"/>
      <c r="H355" s="200">
        <f t="shared" si="1"/>
        <v>0</v>
      </c>
      <c r="I355" s="199"/>
      <c r="J355" s="201"/>
      <c r="K355" s="202"/>
      <c r="L355" s="202"/>
      <c r="M355" s="202"/>
      <c r="N355" s="201"/>
      <c r="O355" s="201"/>
      <c r="P355" s="203"/>
      <c r="Y355" s="204"/>
    </row>
    <row r="356" spans="1:25" s="2" customFormat="1" ht="13.5" customHeight="1">
      <c r="A356" s="107" t="s">
        <v>971</v>
      </c>
      <c r="B356" s="195"/>
      <c r="C356" s="196"/>
      <c r="D356" s="127" t="s">
        <v>967</v>
      </c>
      <c r="E356" s="114" t="s">
        <v>35</v>
      </c>
      <c r="F356" s="197">
        <f>F353</f>
        <v>11.222</v>
      </c>
      <c r="G356" s="67"/>
      <c r="H356" s="200">
        <f t="shared" si="1"/>
        <v>0</v>
      </c>
      <c r="I356" s="199"/>
      <c r="J356" s="148"/>
      <c r="K356" s="148"/>
      <c r="L356" s="148"/>
      <c r="M356" s="148"/>
      <c r="Q356" s="13"/>
    </row>
    <row r="357" spans="1:25" s="2" customFormat="1" ht="13.5" customHeight="1">
      <c r="A357" s="5"/>
      <c r="B357" s="6"/>
      <c r="C357" s="6" t="s">
        <v>22</v>
      </c>
      <c r="D357" s="6" t="s">
        <v>23</v>
      </c>
      <c r="E357" s="6"/>
      <c r="F357" s="7"/>
      <c r="G357" s="8"/>
      <c r="H357" s="8">
        <f>SUM(H358:H361)</f>
        <v>0</v>
      </c>
      <c r="I357" s="45"/>
      <c r="J357" s="61"/>
      <c r="K357" s="46"/>
      <c r="L357" s="46"/>
    </row>
    <row r="358" spans="1:25" s="9" customFormat="1" ht="13.5" customHeight="1">
      <c r="A358" s="174" t="s">
        <v>911</v>
      </c>
      <c r="B358" s="131" t="s">
        <v>37</v>
      </c>
      <c r="C358" s="130">
        <v>998011004</v>
      </c>
      <c r="D358" s="130" t="s">
        <v>153</v>
      </c>
      <c r="E358" s="130" t="s">
        <v>35</v>
      </c>
      <c r="F358" s="159">
        <v>1797.114</v>
      </c>
      <c r="G358" s="155"/>
      <c r="H358" s="155">
        <f>F358*G358</f>
        <v>0</v>
      </c>
      <c r="I358" s="42" t="s">
        <v>105</v>
      </c>
      <c r="J358"/>
    </row>
    <row r="359" spans="1:25" s="9" customFormat="1" ht="13.5" customHeight="1">
      <c r="A359" s="174" t="s">
        <v>912</v>
      </c>
      <c r="B359" s="131" t="s">
        <v>37</v>
      </c>
      <c r="C359" s="130" t="s">
        <v>802</v>
      </c>
      <c r="D359" s="130" t="s">
        <v>803</v>
      </c>
      <c r="E359" s="130" t="s">
        <v>47</v>
      </c>
      <c r="F359" s="159">
        <v>1</v>
      </c>
      <c r="G359" s="155"/>
      <c r="H359" s="155">
        <f>F359*G359</f>
        <v>0</v>
      </c>
      <c r="I359" s="42" t="s">
        <v>109</v>
      </c>
      <c r="J359"/>
    </row>
    <row r="360" spans="1:25" s="13" customFormat="1" ht="13.5" customHeight="1">
      <c r="A360" s="174" t="s">
        <v>972</v>
      </c>
      <c r="B360" s="130" t="s">
        <v>131</v>
      </c>
      <c r="C360" s="130" t="s">
        <v>30</v>
      </c>
      <c r="D360" s="130" t="s">
        <v>31</v>
      </c>
      <c r="E360" s="130" t="s">
        <v>28</v>
      </c>
      <c r="F360" s="159">
        <f>F361</f>
        <v>300</v>
      </c>
      <c r="G360" s="155"/>
      <c r="H360" s="155">
        <f>F360*G360</f>
        <v>0</v>
      </c>
      <c r="I360" s="42" t="s">
        <v>105</v>
      </c>
      <c r="J360" s="61"/>
      <c r="K360" s="58"/>
      <c r="L360" s="58"/>
    </row>
    <row r="361" spans="1:25" s="9" customFormat="1" ht="24" customHeight="1">
      <c r="A361" s="158"/>
      <c r="B361" s="131"/>
      <c r="C361" s="130"/>
      <c r="D361" s="43" t="s">
        <v>29</v>
      </c>
      <c r="E361" s="130"/>
      <c r="F361" s="44">
        <v>300</v>
      </c>
      <c r="G361" s="155"/>
      <c r="H361" s="155"/>
      <c r="I361" s="42"/>
      <c r="J361" s="61"/>
      <c r="K361" s="57"/>
      <c r="L361" s="57"/>
    </row>
    <row r="362" spans="1:25" s="2" customFormat="1" ht="21" customHeight="1">
      <c r="A362" s="5"/>
      <c r="B362" s="6"/>
      <c r="C362" s="6" t="s">
        <v>39</v>
      </c>
      <c r="D362" s="6" t="s">
        <v>40</v>
      </c>
      <c r="E362" s="6"/>
      <c r="F362" s="64"/>
      <c r="G362" s="8"/>
      <c r="H362" s="8">
        <f>H363+H393+H402+H415+H531+H551+H657+H668+H581+H683+H727+H781+H796+H824+H873</f>
        <v>0</v>
      </c>
      <c r="I362" s="45"/>
      <c r="J362" s="12"/>
      <c r="K362" s="65"/>
      <c r="L362" s="12"/>
    </row>
    <row r="363" spans="1:25" s="2" customFormat="1" ht="13.5" customHeight="1">
      <c r="A363" s="5"/>
      <c r="B363" s="6"/>
      <c r="C363" s="6" t="s">
        <v>274</v>
      </c>
      <c r="D363" s="6" t="s">
        <v>41</v>
      </c>
      <c r="E363" s="6"/>
      <c r="F363" s="7"/>
      <c r="G363" s="8"/>
      <c r="H363" s="128">
        <f>SUM(H364:H378)+H384+SUM(H388:H392)</f>
        <v>0</v>
      </c>
      <c r="I363" s="45"/>
      <c r="J363" s="12"/>
      <c r="K363" s="65"/>
      <c r="L363" s="12"/>
    </row>
    <row r="364" spans="1:25" s="70" customFormat="1" ht="13.5" customHeight="1">
      <c r="A364" s="158">
        <v>94</v>
      </c>
      <c r="B364" s="131">
        <v>711</v>
      </c>
      <c r="C364" s="130" t="s">
        <v>275</v>
      </c>
      <c r="D364" s="130" t="s">
        <v>276</v>
      </c>
      <c r="E364" s="130" t="s">
        <v>21</v>
      </c>
      <c r="F364" s="159">
        <f>F365</f>
        <v>38.01</v>
      </c>
      <c r="G364" s="155"/>
      <c r="H364" s="155">
        <f>F364*G364</f>
        <v>0</v>
      </c>
      <c r="I364" s="42" t="s">
        <v>109</v>
      </c>
    </row>
    <row r="365" spans="1:25" s="70" customFormat="1" ht="24.75" customHeight="1">
      <c r="A365" s="164"/>
      <c r="B365" s="132"/>
      <c r="C365" s="132"/>
      <c r="D365" s="43" t="s">
        <v>280</v>
      </c>
      <c r="E365" s="132"/>
      <c r="F365" s="44">
        <f>(3.2+8.2)*1.05+(1.95*2+1.6*2+2.6*2+3.15*2)*1.4</f>
        <v>38.01</v>
      </c>
      <c r="G365" s="166"/>
      <c r="H365" s="155"/>
      <c r="I365" s="45"/>
      <c r="J365" s="147"/>
    </row>
    <row r="366" spans="1:25" s="70" customFormat="1" ht="27" customHeight="1">
      <c r="A366" s="158">
        <v>95</v>
      </c>
      <c r="B366" s="131">
        <v>711</v>
      </c>
      <c r="C366" s="130" t="s">
        <v>602</v>
      </c>
      <c r="D366" s="130" t="s">
        <v>601</v>
      </c>
      <c r="E366" s="130" t="s">
        <v>21</v>
      </c>
      <c r="F366" s="159">
        <f>SUM(F367:F376)</f>
        <v>3113.04</v>
      </c>
      <c r="G366" s="155"/>
      <c r="H366" s="155">
        <f>F366*G366</f>
        <v>0</v>
      </c>
      <c r="I366" s="42" t="s">
        <v>109</v>
      </c>
      <c r="J366" s="148"/>
    </row>
    <row r="367" spans="1:25" s="70" customFormat="1" ht="13.5" customHeight="1">
      <c r="A367" s="164"/>
      <c r="B367" s="132"/>
      <c r="C367" s="132"/>
      <c r="D367" s="43" t="s">
        <v>603</v>
      </c>
      <c r="E367" s="132"/>
      <c r="F367" s="44">
        <f>514.6*1.05</f>
        <v>540.33000000000004</v>
      </c>
      <c r="G367" s="166"/>
      <c r="H367" s="155"/>
      <c r="I367" s="45"/>
      <c r="J367" s="133"/>
    </row>
    <row r="368" spans="1:25" s="70" customFormat="1" ht="13.5" customHeight="1">
      <c r="A368" s="164"/>
      <c r="B368" s="132"/>
      <c r="C368" s="132"/>
      <c r="D368" s="43" t="s">
        <v>604</v>
      </c>
      <c r="E368" s="132"/>
      <c r="F368" s="44">
        <f>68.1*1.05</f>
        <v>71.504999999999995</v>
      </c>
      <c r="G368" s="166"/>
      <c r="H368" s="155"/>
      <c r="I368" s="45"/>
      <c r="J368" s="129"/>
    </row>
    <row r="369" spans="1:10" s="70" customFormat="1" ht="13.5" customHeight="1">
      <c r="A369" s="164"/>
      <c r="B369" s="132"/>
      <c r="C369" s="132"/>
      <c r="D369" s="43" t="s">
        <v>611</v>
      </c>
      <c r="E369" s="132"/>
      <c r="F369" s="44">
        <f>140.5*1.05</f>
        <v>147.52500000000001</v>
      </c>
      <c r="G369" s="166"/>
      <c r="H369" s="155"/>
      <c r="I369" s="45"/>
      <c r="J369" s="129"/>
    </row>
    <row r="370" spans="1:10" s="70" customFormat="1" ht="13.5" customHeight="1">
      <c r="A370" s="164"/>
      <c r="B370" s="132"/>
      <c r="C370" s="132"/>
      <c r="D370" s="43" t="s">
        <v>649</v>
      </c>
      <c r="E370" s="132"/>
      <c r="F370" s="44">
        <f>53.2*1.05</f>
        <v>55.860000000000007</v>
      </c>
      <c r="G370" s="166"/>
      <c r="H370" s="155"/>
      <c r="I370" s="45"/>
      <c r="J370" s="129"/>
    </row>
    <row r="371" spans="1:10" s="70" customFormat="1" ht="13.5" customHeight="1">
      <c r="A371" s="164"/>
      <c r="B371" s="132"/>
      <c r="C371" s="132"/>
      <c r="D371" s="43" t="s">
        <v>712</v>
      </c>
      <c r="E371" s="132"/>
      <c r="F371" s="44">
        <f>46.6*1.05</f>
        <v>48.930000000000007</v>
      </c>
      <c r="G371" s="166"/>
      <c r="H371" s="155"/>
      <c r="I371" s="45"/>
      <c r="J371" s="129"/>
    </row>
    <row r="372" spans="1:10" s="70" customFormat="1" ht="13.5" customHeight="1">
      <c r="A372" s="164"/>
      <c r="B372" s="132"/>
      <c r="C372" s="132"/>
      <c r="D372" s="43" t="s">
        <v>606</v>
      </c>
      <c r="E372" s="132"/>
      <c r="F372" s="44">
        <f xml:space="preserve"> 633*1.05</f>
        <v>664.65</v>
      </c>
      <c r="G372" s="166"/>
      <c r="H372" s="155"/>
      <c r="I372" s="45"/>
      <c r="J372" s="129"/>
    </row>
    <row r="373" spans="1:10" s="70" customFormat="1" ht="13.5" customHeight="1">
      <c r="A373" s="164"/>
      <c r="B373" s="132"/>
      <c r="C373" s="132"/>
      <c r="D373" s="43" t="s">
        <v>605</v>
      </c>
      <c r="E373" s="132"/>
      <c r="F373" s="44">
        <f>546.5*1.05</f>
        <v>573.82500000000005</v>
      </c>
      <c r="G373" s="166"/>
      <c r="H373" s="155"/>
      <c r="I373" s="45"/>
      <c r="J373" s="129"/>
    </row>
    <row r="374" spans="1:10" s="70" customFormat="1" ht="13.5" customHeight="1">
      <c r="A374" s="164"/>
      <c r="B374" s="132"/>
      <c r="C374" s="132"/>
      <c r="D374" s="43" t="s">
        <v>688</v>
      </c>
      <c r="E374" s="132"/>
      <c r="F374" s="44">
        <f>410.4*1.05</f>
        <v>430.92</v>
      </c>
      <c r="G374" s="166"/>
      <c r="H374" s="155"/>
      <c r="I374" s="45"/>
      <c r="J374" s="129"/>
    </row>
    <row r="375" spans="1:10" s="70" customFormat="1" ht="13.5" customHeight="1">
      <c r="A375" s="164"/>
      <c r="B375" s="132"/>
      <c r="C375" s="132"/>
      <c r="D375" s="43" t="s">
        <v>689</v>
      </c>
      <c r="E375" s="132"/>
      <c r="F375" s="44">
        <f>399.7*1.05</f>
        <v>419.685</v>
      </c>
      <c r="G375" s="166"/>
      <c r="H375" s="155"/>
      <c r="I375" s="45"/>
      <c r="J375" s="129"/>
    </row>
    <row r="376" spans="1:10" s="70" customFormat="1" ht="13.5" customHeight="1">
      <c r="A376" s="164"/>
      <c r="B376" s="132"/>
      <c r="C376" s="132"/>
      <c r="D376" s="43" t="s">
        <v>761</v>
      </c>
      <c r="E376" s="132"/>
      <c r="F376" s="44">
        <f>152.2*1.05</f>
        <v>159.81</v>
      </c>
      <c r="G376" s="166"/>
      <c r="H376" s="155"/>
      <c r="I376" s="45"/>
      <c r="J376" s="129"/>
    </row>
    <row r="377" spans="1:10" s="70" customFormat="1" ht="27" customHeight="1">
      <c r="A377" s="174" t="s">
        <v>973</v>
      </c>
      <c r="B377" s="131" t="s">
        <v>274</v>
      </c>
      <c r="C377" s="130" t="s">
        <v>424</v>
      </c>
      <c r="D377" s="130" t="s">
        <v>425</v>
      </c>
      <c r="E377" s="130" t="s">
        <v>21</v>
      </c>
      <c r="F377" s="159">
        <f>F382</f>
        <v>108.92</v>
      </c>
      <c r="G377" s="167">
        <f>SUM(H379:H381)/F377</f>
        <v>0</v>
      </c>
      <c r="H377" s="155">
        <f>F377*G377</f>
        <v>0</v>
      </c>
      <c r="I377" s="42" t="s">
        <v>109</v>
      </c>
    </row>
    <row r="378" spans="1:10" s="70" customFormat="1" ht="13.5" customHeight="1">
      <c r="A378" s="158"/>
      <c r="B378" s="130"/>
      <c r="C378" s="130"/>
      <c r="D378" s="43" t="s">
        <v>426</v>
      </c>
      <c r="E378" s="130"/>
      <c r="F378" s="44"/>
      <c r="G378" s="155"/>
      <c r="H378" s="155"/>
      <c r="I378" s="42"/>
    </row>
    <row r="379" spans="1:10" s="70" customFormat="1" ht="13.5" customHeight="1">
      <c r="A379" s="107" t="s">
        <v>913</v>
      </c>
      <c r="B379" s="130"/>
      <c r="C379" s="130"/>
      <c r="D379" s="43" t="s">
        <v>429</v>
      </c>
      <c r="E379" s="114" t="s">
        <v>21</v>
      </c>
      <c r="F379" s="44">
        <v>125.3</v>
      </c>
      <c r="G379" s="67"/>
      <c r="H379" s="44">
        <f>F379*G379</f>
        <v>0</v>
      </c>
      <c r="I379" s="42"/>
    </row>
    <row r="380" spans="1:10" s="70" customFormat="1" ht="13.5" customHeight="1">
      <c r="A380" s="107" t="s">
        <v>914</v>
      </c>
      <c r="B380" s="130"/>
      <c r="C380" s="130"/>
      <c r="D380" s="43" t="s">
        <v>430</v>
      </c>
      <c r="E380" s="114" t="s">
        <v>21</v>
      </c>
      <c r="F380" s="44">
        <v>125.3</v>
      </c>
      <c r="G380" s="67"/>
      <c r="H380" s="44">
        <f>F380*G380</f>
        <v>0</v>
      </c>
      <c r="I380" s="42"/>
    </row>
    <row r="381" spans="1:10" s="70" customFormat="1" ht="13.5" customHeight="1">
      <c r="A381" s="107" t="s">
        <v>974</v>
      </c>
      <c r="B381" s="130"/>
      <c r="C381" s="130"/>
      <c r="D381" s="43" t="s">
        <v>431</v>
      </c>
      <c r="E381" s="114" t="s">
        <v>21</v>
      </c>
      <c r="F381" s="44">
        <v>125.3</v>
      </c>
      <c r="G381" s="67"/>
      <c r="H381" s="44">
        <f>F381*G381</f>
        <v>0</v>
      </c>
      <c r="I381" s="42"/>
    </row>
    <row r="382" spans="1:10" s="70" customFormat="1" ht="27.75" customHeight="1">
      <c r="A382" s="158"/>
      <c r="B382" s="130"/>
      <c r="C382" s="130"/>
      <c r="D382" s="43" t="s">
        <v>428</v>
      </c>
      <c r="E382" s="130"/>
      <c r="F382" s="44">
        <f>(4.1+3.2+0.6+7.1)*(2.25*2+0.3*2+1)+4.4*(0.3*3+0.4+0.2+1.8)+2.9*1</f>
        <v>108.92</v>
      </c>
      <c r="G382" s="155"/>
      <c r="H382" s="155"/>
      <c r="I382" s="42"/>
    </row>
    <row r="383" spans="1:10" s="70" customFormat="1" ht="13.5" customHeight="1">
      <c r="A383" s="158"/>
      <c r="B383" s="130"/>
      <c r="C383" s="130"/>
      <c r="D383" s="43" t="s">
        <v>427</v>
      </c>
      <c r="E383" s="130"/>
      <c r="F383" s="44"/>
      <c r="G383" s="155"/>
      <c r="H383" s="155"/>
      <c r="I383" s="42"/>
    </row>
    <row r="384" spans="1:10" s="2" customFormat="1" ht="13.5" customHeight="1">
      <c r="A384" s="158">
        <v>97</v>
      </c>
      <c r="B384" s="130">
        <v>771</v>
      </c>
      <c r="C384" s="130" t="s">
        <v>850</v>
      </c>
      <c r="D384" s="130" t="s">
        <v>851</v>
      </c>
      <c r="E384" s="130" t="s">
        <v>21</v>
      </c>
      <c r="F384" s="159">
        <f>F388</f>
        <v>43.228000000000002</v>
      </c>
      <c r="G384" s="167">
        <f>SUM(H386:H387)/F384</f>
        <v>0</v>
      </c>
      <c r="H384" s="155">
        <f>G384*F384</f>
        <v>0</v>
      </c>
      <c r="I384" s="42" t="s">
        <v>109</v>
      </c>
    </row>
    <row r="385" spans="1:12" s="133" customFormat="1" ht="13.5" customHeight="1">
      <c r="A385" s="161"/>
      <c r="B385" s="169"/>
      <c r="C385" s="43"/>
      <c r="D385" s="43" t="s">
        <v>852</v>
      </c>
      <c r="E385" s="43"/>
      <c r="F385" s="44"/>
      <c r="G385" s="160"/>
      <c r="H385" s="160"/>
      <c r="I385" s="170"/>
    </row>
    <row r="386" spans="1:12" s="2" customFormat="1" ht="13.5" customHeight="1">
      <c r="A386" s="134" t="s">
        <v>975</v>
      </c>
      <c r="B386" s="132"/>
      <c r="C386" s="132"/>
      <c r="D386" s="43" t="s">
        <v>855</v>
      </c>
      <c r="E386" s="135" t="s">
        <v>27</v>
      </c>
      <c r="F386" s="44">
        <v>49.7</v>
      </c>
      <c r="G386" s="67"/>
      <c r="H386" s="44">
        <f>F386*G386</f>
        <v>0</v>
      </c>
      <c r="I386" s="45"/>
    </row>
    <row r="387" spans="1:12" s="2" customFormat="1" ht="13.5" customHeight="1">
      <c r="A387" s="134" t="s">
        <v>976</v>
      </c>
      <c r="B387" s="132"/>
      <c r="C387" s="132"/>
      <c r="D387" s="43" t="s">
        <v>854</v>
      </c>
      <c r="E387" s="135" t="s">
        <v>21</v>
      </c>
      <c r="F387" s="44">
        <v>49.7</v>
      </c>
      <c r="G387" s="67"/>
      <c r="H387" s="44">
        <f>F387*G387</f>
        <v>0</v>
      </c>
      <c r="I387" s="45"/>
    </row>
    <row r="388" spans="1:12" s="136" customFormat="1" ht="39.75" customHeight="1">
      <c r="A388" s="161"/>
      <c r="B388" s="169"/>
      <c r="C388" s="43"/>
      <c r="D388" s="43" t="s">
        <v>853</v>
      </c>
      <c r="E388" s="43"/>
      <c r="F388" s="44">
        <f>(2.85+3.65+3.15+2.85)*1.25*2+(1.95+1.85+1.85)*1.06*2</f>
        <v>43.228000000000002</v>
      </c>
      <c r="G388" s="160"/>
      <c r="H388" s="160"/>
      <c r="I388" s="170"/>
    </row>
    <row r="389" spans="1:12" s="46" customFormat="1" ht="13.5" customHeight="1">
      <c r="A389" s="158">
        <v>98</v>
      </c>
      <c r="B389" s="131" t="s">
        <v>274</v>
      </c>
      <c r="C389" s="130">
        <v>998711203</v>
      </c>
      <c r="D389" s="130" t="s">
        <v>281</v>
      </c>
      <c r="E389" s="130" t="s">
        <v>42</v>
      </c>
      <c r="F389" s="159">
        <v>3.42</v>
      </c>
      <c r="G389" s="155"/>
      <c r="H389" s="155">
        <f>F389*G389</f>
        <v>0</v>
      </c>
      <c r="I389" s="42" t="s">
        <v>105</v>
      </c>
      <c r="J389" s="12"/>
      <c r="K389" s="12"/>
      <c r="L389" s="12"/>
    </row>
    <row r="390" spans="1:12" s="10" customFormat="1" ht="13.5" customHeight="1">
      <c r="A390" s="158">
        <v>99</v>
      </c>
      <c r="B390" s="130" t="s">
        <v>131</v>
      </c>
      <c r="C390" s="130" t="s">
        <v>277</v>
      </c>
      <c r="D390" s="130" t="s">
        <v>278</v>
      </c>
      <c r="E390" s="130" t="s">
        <v>28</v>
      </c>
      <c r="F390" s="159">
        <f>F391</f>
        <v>15</v>
      </c>
      <c r="G390" s="155"/>
      <c r="H390" s="155">
        <f>F390*G390</f>
        <v>0</v>
      </c>
      <c r="I390" s="42" t="s">
        <v>105</v>
      </c>
      <c r="J390" s="9"/>
      <c r="K390" s="9"/>
      <c r="L390" s="9"/>
    </row>
    <row r="391" spans="1:12" s="2" customFormat="1" ht="13.5" customHeight="1">
      <c r="A391" s="164"/>
      <c r="B391" s="132"/>
      <c r="C391" s="132"/>
      <c r="D391" s="43" t="s">
        <v>279</v>
      </c>
      <c r="E391" s="132"/>
      <c r="F391" s="44">
        <v>15</v>
      </c>
      <c r="G391" s="166"/>
      <c r="H391" s="155"/>
      <c r="I391" s="45"/>
      <c r="J391" s="9"/>
      <c r="K391" s="12"/>
      <c r="L391" s="12"/>
    </row>
    <row r="392" spans="1:12" s="2" customFormat="1" ht="13.5" customHeight="1">
      <c r="A392" s="164"/>
      <c r="B392" s="132"/>
      <c r="C392" s="132"/>
      <c r="D392" s="43" t="s">
        <v>43</v>
      </c>
      <c r="E392" s="132"/>
      <c r="F392" s="44"/>
      <c r="G392" s="166"/>
      <c r="H392" s="155"/>
      <c r="I392" s="45"/>
      <c r="J392" s="12"/>
      <c r="K392" s="12"/>
      <c r="L392" s="12"/>
    </row>
    <row r="393" spans="1:12" s="2" customFormat="1" ht="13.5" customHeight="1">
      <c r="A393" s="5"/>
      <c r="B393" s="6"/>
      <c r="C393" s="6">
        <v>713</v>
      </c>
      <c r="D393" s="6" t="s">
        <v>44</v>
      </c>
      <c r="E393" s="6"/>
      <c r="F393" s="7"/>
      <c r="G393" s="8"/>
      <c r="H393" s="128">
        <f>SUM(H394:H401)</f>
        <v>0</v>
      </c>
      <c r="I393" s="45"/>
      <c r="J393" s="12"/>
      <c r="K393" s="65"/>
      <c r="L393" s="12"/>
    </row>
    <row r="394" spans="1:12" s="9" customFormat="1" ht="13.5" customHeight="1">
      <c r="A394" s="158">
        <v>100</v>
      </c>
      <c r="B394" s="131" t="s">
        <v>663</v>
      </c>
      <c r="C394" s="130" t="s">
        <v>665</v>
      </c>
      <c r="D394" s="130" t="s">
        <v>666</v>
      </c>
      <c r="E394" s="130" t="s">
        <v>21</v>
      </c>
      <c r="F394" s="159">
        <f>F396+F397</f>
        <v>166.84</v>
      </c>
      <c r="G394" s="155"/>
      <c r="H394" s="155">
        <f>F394*G394</f>
        <v>0</v>
      </c>
      <c r="I394" s="42" t="s">
        <v>109</v>
      </c>
    </row>
    <row r="395" spans="1:12" s="70" customFormat="1" ht="25.5" customHeight="1">
      <c r="A395" s="158"/>
      <c r="B395" s="131"/>
      <c r="C395" s="130"/>
      <c r="D395" s="43" t="s">
        <v>667</v>
      </c>
      <c r="E395" s="130"/>
      <c r="F395" s="165"/>
      <c r="G395" s="155"/>
      <c r="H395" s="155"/>
      <c r="I395" s="45"/>
    </row>
    <row r="396" spans="1:12" s="70" customFormat="1" ht="13.5" customHeight="1">
      <c r="A396" s="158"/>
      <c r="B396" s="130"/>
      <c r="C396" s="130"/>
      <c r="D396" s="43" t="s">
        <v>668</v>
      </c>
      <c r="E396" s="130"/>
      <c r="F396" s="44">
        <v>112.5</v>
      </c>
      <c r="G396" s="155"/>
      <c r="H396" s="155"/>
      <c r="I396" s="42"/>
    </row>
    <row r="397" spans="1:12" s="70" customFormat="1" ht="13.5" customHeight="1">
      <c r="A397" s="158"/>
      <c r="B397" s="130"/>
      <c r="C397" s="130"/>
      <c r="D397" s="43" t="s">
        <v>669</v>
      </c>
      <c r="E397" s="130"/>
      <c r="F397" s="44">
        <f>49.4*1.1</f>
        <v>54.34</v>
      </c>
      <c r="G397" s="155"/>
      <c r="H397" s="155"/>
      <c r="I397" s="42"/>
    </row>
    <row r="398" spans="1:12" s="46" customFormat="1" ht="13.5" customHeight="1">
      <c r="A398" s="158">
        <v>101</v>
      </c>
      <c r="B398" s="131" t="s">
        <v>663</v>
      </c>
      <c r="C398" s="130">
        <v>998713204</v>
      </c>
      <c r="D398" s="130" t="s">
        <v>664</v>
      </c>
      <c r="E398" s="130" t="s">
        <v>42</v>
      </c>
      <c r="F398" s="159">
        <v>2.44</v>
      </c>
      <c r="G398" s="155"/>
      <c r="H398" s="155">
        <f>F398*G398</f>
        <v>0</v>
      </c>
      <c r="I398" s="42" t="s">
        <v>105</v>
      </c>
      <c r="J398" s="12"/>
      <c r="K398" s="12"/>
      <c r="L398" s="12"/>
    </row>
    <row r="399" spans="1:12" s="10" customFormat="1" ht="13.5" customHeight="1">
      <c r="A399" s="158">
        <v>102</v>
      </c>
      <c r="B399" s="130" t="s">
        <v>131</v>
      </c>
      <c r="C399" s="130" t="s">
        <v>199</v>
      </c>
      <c r="D399" s="130" t="s">
        <v>200</v>
      </c>
      <c r="E399" s="130" t="s">
        <v>28</v>
      </c>
      <c r="F399" s="159">
        <f>F400</f>
        <v>10</v>
      </c>
      <c r="G399" s="155"/>
      <c r="H399" s="155">
        <f>F399*G399</f>
        <v>0</v>
      </c>
      <c r="I399" s="42" t="s">
        <v>105</v>
      </c>
      <c r="J399" s="9"/>
      <c r="K399" s="9"/>
      <c r="L399" s="9"/>
    </row>
    <row r="400" spans="1:12" s="2" customFormat="1" ht="13.5" customHeight="1">
      <c r="A400" s="164"/>
      <c r="B400" s="132"/>
      <c r="C400" s="132"/>
      <c r="D400" s="43" t="s">
        <v>662</v>
      </c>
      <c r="E400" s="132"/>
      <c r="F400" s="44">
        <v>10</v>
      </c>
      <c r="G400" s="166"/>
      <c r="H400" s="155"/>
      <c r="I400" s="45"/>
      <c r="J400" s="9"/>
      <c r="K400" s="12"/>
      <c r="L400" s="12"/>
    </row>
    <row r="401" spans="1:12" s="2" customFormat="1" ht="13.5" customHeight="1">
      <c r="A401" s="164"/>
      <c r="B401" s="132"/>
      <c r="C401" s="132"/>
      <c r="D401" s="43" t="s">
        <v>43</v>
      </c>
      <c r="E401" s="132"/>
      <c r="F401" s="44"/>
      <c r="G401" s="166"/>
      <c r="H401" s="155"/>
      <c r="I401" s="45"/>
      <c r="J401" s="12"/>
      <c r="K401" s="12"/>
      <c r="L401" s="12"/>
    </row>
    <row r="402" spans="1:12" s="46" customFormat="1" ht="13.5" customHeight="1">
      <c r="A402" s="5"/>
      <c r="B402" s="6"/>
      <c r="C402" s="6">
        <v>762</v>
      </c>
      <c r="D402" s="6" t="s">
        <v>89</v>
      </c>
      <c r="E402" s="6"/>
      <c r="F402" s="7"/>
      <c r="G402" s="8"/>
      <c r="H402" s="8">
        <f>SUM(H403:H414)</f>
        <v>0</v>
      </c>
      <c r="I402" s="68"/>
      <c r="J402" s="12"/>
      <c r="K402" s="65"/>
      <c r="L402" s="12"/>
    </row>
    <row r="403" spans="1:12" s="9" customFormat="1" ht="13.5" customHeight="1">
      <c r="A403" s="158">
        <v>103</v>
      </c>
      <c r="B403" s="131" t="s">
        <v>91</v>
      </c>
      <c r="C403" s="130" t="s">
        <v>173</v>
      </c>
      <c r="D403" s="130" t="s">
        <v>339</v>
      </c>
      <c r="E403" s="130" t="s">
        <v>21</v>
      </c>
      <c r="F403" s="159">
        <f>F405</f>
        <v>1930</v>
      </c>
      <c r="G403" s="155"/>
      <c r="H403" s="155">
        <f>F403*G403</f>
        <v>0</v>
      </c>
      <c r="I403" s="42" t="s">
        <v>109</v>
      </c>
    </row>
    <row r="404" spans="1:12" s="2" customFormat="1" ht="47.25" customHeight="1">
      <c r="A404" s="174"/>
      <c r="B404" s="131"/>
      <c r="C404" s="130"/>
      <c r="D404" s="43" t="s">
        <v>1008</v>
      </c>
      <c r="E404" s="130"/>
      <c r="F404" s="44"/>
      <c r="G404" s="155"/>
      <c r="H404" s="155"/>
      <c r="I404" s="42"/>
    </row>
    <row r="405" spans="1:12" s="2" customFormat="1" ht="13.5" customHeight="1">
      <c r="A405" s="174"/>
      <c r="B405" s="131"/>
      <c r="C405" s="130"/>
      <c r="D405" s="43" t="s">
        <v>174</v>
      </c>
      <c r="E405" s="130"/>
      <c r="F405" s="44">
        <v>1930</v>
      </c>
      <c r="G405" s="155"/>
      <c r="H405" s="155"/>
      <c r="I405" s="42"/>
    </row>
    <row r="406" spans="1:12" s="9" customFormat="1" ht="13.5" customHeight="1">
      <c r="A406" s="158">
        <v>104</v>
      </c>
      <c r="B406" s="131" t="s">
        <v>91</v>
      </c>
      <c r="C406" s="130" t="s">
        <v>342</v>
      </c>
      <c r="D406" s="130" t="s">
        <v>340</v>
      </c>
      <c r="E406" s="130" t="s">
        <v>21</v>
      </c>
      <c r="F406" s="159">
        <f>F410</f>
        <v>1592.3000000000002</v>
      </c>
      <c r="G406" s="155"/>
      <c r="H406" s="155">
        <f>F406*G406</f>
        <v>0</v>
      </c>
      <c r="I406" s="42" t="s">
        <v>109</v>
      </c>
    </row>
    <row r="407" spans="1:12" s="2" customFormat="1" ht="37.5" customHeight="1">
      <c r="A407" s="174"/>
      <c r="B407" s="131"/>
      <c r="C407" s="130"/>
      <c r="D407" s="43" t="s">
        <v>1012</v>
      </c>
      <c r="E407" s="130"/>
      <c r="F407" s="44"/>
      <c r="G407" s="155"/>
      <c r="H407" s="155"/>
      <c r="I407" s="42"/>
    </row>
    <row r="408" spans="1:12" s="2" customFormat="1" ht="29.25" customHeight="1">
      <c r="A408" s="174"/>
      <c r="B408" s="131"/>
      <c r="C408" s="130"/>
      <c r="D408" s="43" t="s">
        <v>1011</v>
      </c>
      <c r="E408" s="130"/>
      <c r="F408" s="44"/>
      <c r="G408" s="155"/>
      <c r="H408" s="155"/>
      <c r="I408" s="42"/>
    </row>
    <row r="409" spans="1:12" s="2" customFormat="1" ht="29.25" customHeight="1">
      <c r="A409" s="174"/>
      <c r="B409" s="131"/>
      <c r="C409" s="130"/>
      <c r="D409" s="43" t="s">
        <v>1013</v>
      </c>
      <c r="E409" s="130"/>
      <c r="F409" s="44"/>
      <c r="G409" s="155"/>
      <c r="H409" s="155"/>
      <c r="I409" s="42"/>
    </row>
    <row r="410" spans="1:12" s="2" customFormat="1" ht="13.5" customHeight="1">
      <c r="A410" s="174"/>
      <c r="B410" s="131"/>
      <c r="C410" s="130"/>
      <c r="D410" s="43" t="s">
        <v>341</v>
      </c>
      <c r="E410" s="130"/>
      <c r="F410" s="44">
        <f>570.3+607.6+414.4</f>
        <v>1592.3000000000002</v>
      </c>
      <c r="G410" s="155"/>
      <c r="H410" s="155"/>
      <c r="I410" s="42"/>
    </row>
    <row r="411" spans="1:12" s="46" customFormat="1" ht="13.5" customHeight="1">
      <c r="A411" s="158">
        <v>105</v>
      </c>
      <c r="B411" s="131" t="s">
        <v>91</v>
      </c>
      <c r="C411" s="130">
        <v>998762204</v>
      </c>
      <c r="D411" s="130" t="s">
        <v>172</v>
      </c>
      <c r="E411" s="130" t="s">
        <v>42</v>
      </c>
      <c r="F411" s="159">
        <v>5.95</v>
      </c>
      <c r="G411" s="155"/>
      <c r="H411" s="155">
        <f>F411*G411</f>
        <v>0</v>
      </c>
      <c r="I411" s="42" t="s">
        <v>105</v>
      </c>
      <c r="J411" s="12"/>
      <c r="K411" s="12"/>
      <c r="L411" s="12"/>
    </row>
    <row r="412" spans="1:12" s="10" customFormat="1" ht="13.5" customHeight="1">
      <c r="A412" s="158">
        <v>106</v>
      </c>
      <c r="B412" s="130" t="s">
        <v>131</v>
      </c>
      <c r="C412" s="130" t="s">
        <v>92</v>
      </c>
      <c r="D412" s="130" t="s">
        <v>93</v>
      </c>
      <c r="E412" s="130" t="s">
        <v>28</v>
      </c>
      <c r="F412" s="159">
        <f>F413</f>
        <v>60</v>
      </c>
      <c r="G412" s="155"/>
      <c r="H412" s="155">
        <f>F412*G412</f>
        <v>0</v>
      </c>
      <c r="I412" s="42" t="s">
        <v>105</v>
      </c>
      <c r="J412" s="9"/>
      <c r="K412" s="9"/>
      <c r="L412" s="9"/>
    </row>
    <row r="413" spans="1:12" s="2" customFormat="1" ht="13.5" customHeight="1">
      <c r="A413" s="164"/>
      <c r="B413" s="132"/>
      <c r="C413" s="132"/>
      <c r="D413" s="43" t="s">
        <v>90</v>
      </c>
      <c r="E413" s="132"/>
      <c r="F413" s="44">
        <v>60</v>
      </c>
      <c r="G413" s="166"/>
      <c r="H413" s="155"/>
      <c r="I413" s="45"/>
      <c r="J413" s="12"/>
      <c r="K413" s="12"/>
      <c r="L413" s="12"/>
    </row>
    <row r="414" spans="1:12" s="2" customFormat="1" ht="13.5" customHeight="1">
      <c r="A414" s="164"/>
      <c r="B414" s="132"/>
      <c r="C414" s="132"/>
      <c r="D414" s="43" t="s">
        <v>43</v>
      </c>
      <c r="E414" s="132"/>
      <c r="F414" s="44"/>
      <c r="G414" s="166"/>
      <c r="H414" s="155"/>
      <c r="I414" s="45"/>
      <c r="J414" s="12"/>
      <c r="K414" s="12"/>
      <c r="L414" s="12"/>
    </row>
    <row r="415" spans="1:12" s="46" customFormat="1" ht="13.5" customHeight="1">
      <c r="A415" s="5"/>
      <c r="B415" s="6"/>
      <c r="C415" s="6">
        <v>763</v>
      </c>
      <c r="D415" s="6" t="s">
        <v>212</v>
      </c>
      <c r="E415" s="6"/>
      <c r="F415" s="7"/>
      <c r="G415" s="8"/>
      <c r="H415" s="8">
        <f>SUM(H416:H530)</f>
        <v>0</v>
      </c>
      <c r="I415" s="68"/>
      <c r="J415" s="12"/>
      <c r="K415" s="65"/>
      <c r="L415" s="12"/>
    </row>
    <row r="416" spans="1:12" s="70" customFormat="1" ht="13.5" customHeight="1">
      <c r="A416" s="158">
        <v>107</v>
      </c>
      <c r="B416" s="130" t="s">
        <v>213</v>
      </c>
      <c r="C416" s="130">
        <v>763111441</v>
      </c>
      <c r="D416" s="130" t="s">
        <v>220</v>
      </c>
      <c r="E416" s="130" t="s">
        <v>21</v>
      </c>
      <c r="F416" s="159">
        <f>F420+F421+F422+F423+F424+F425</f>
        <v>623.69999999999993</v>
      </c>
      <c r="G416" s="155"/>
      <c r="H416" s="155">
        <f>F416*G416</f>
        <v>0</v>
      </c>
      <c r="I416" s="42" t="s">
        <v>105</v>
      </c>
    </row>
    <row r="417" spans="1:9" s="70" customFormat="1" ht="13.5" customHeight="1">
      <c r="A417" s="158"/>
      <c r="B417" s="132"/>
      <c r="C417" s="132"/>
      <c r="D417" s="43" t="s">
        <v>221</v>
      </c>
      <c r="E417" s="132"/>
      <c r="F417" s="44"/>
      <c r="G417" s="166"/>
      <c r="H417" s="155"/>
      <c r="I417" s="45"/>
    </row>
    <row r="418" spans="1:9" s="70" customFormat="1" ht="40.5" customHeight="1">
      <c r="A418" s="158"/>
      <c r="B418" s="131"/>
      <c r="C418" s="130"/>
      <c r="D418" s="43" t="s">
        <v>218</v>
      </c>
      <c r="E418" s="130"/>
      <c r="F418" s="165"/>
      <c r="G418" s="155"/>
      <c r="H418" s="155"/>
      <c r="I418" s="45"/>
    </row>
    <row r="419" spans="1:9" s="70" customFormat="1" ht="13.5" customHeight="1">
      <c r="A419" s="158"/>
      <c r="B419" s="131"/>
      <c r="C419" s="130"/>
      <c r="D419" s="43" t="s">
        <v>219</v>
      </c>
      <c r="E419" s="130"/>
      <c r="F419" s="44"/>
      <c r="G419" s="155"/>
      <c r="H419" s="155"/>
      <c r="I419" s="42"/>
    </row>
    <row r="420" spans="1:9" s="70" customFormat="1" ht="13.5" customHeight="1">
      <c r="A420" s="158"/>
      <c r="B420" s="131"/>
      <c r="C420" s="130"/>
      <c r="D420" s="43" t="s">
        <v>222</v>
      </c>
      <c r="E420" s="130"/>
      <c r="F420" s="44">
        <v>23.3</v>
      </c>
      <c r="G420" s="155"/>
      <c r="H420" s="155"/>
      <c r="I420" s="42"/>
    </row>
    <row r="421" spans="1:9" s="70" customFormat="1" ht="13.5" customHeight="1">
      <c r="A421" s="158"/>
      <c r="B421" s="131"/>
      <c r="C421" s="130"/>
      <c r="D421" s="43" t="s">
        <v>256</v>
      </c>
      <c r="E421" s="130"/>
      <c r="F421" s="44">
        <v>212.6</v>
      </c>
      <c r="G421" s="155"/>
      <c r="H421" s="155"/>
      <c r="I421" s="42"/>
    </row>
    <row r="422" spans="1:9" s="70" customFormat="1" ht="13.5" customHeight="1">
      <c r="A422" s="158"/>
      <c r="B422" s="131"/>
      <c r="C422" s="130"/>
      <c r="D422" s="43" t="s">
        <v>560</v>
      </c>
      <c r="E422" s="130"/>
      <c r="F422" s="44">
        <v>85.2</v>
      </c>
      <c r="G422" s="155"/>
      <c r="H422" s="155"/>
      <c r="I422" s="42"/>
    </row>
    <row r="423" spans="1:9" s="70" customFormat="1" ht="13.5" customHeight="1">
      <c r="A423" s="158"/>
      <c r="B423" s="131"/>
      <c r="C423" s="130"/>
      <c r="D423" s="43" t="s">
        <v>631</v>
      </c>
      <c r="E423" s="130"/>
      <c r="F423" s="44">
        <v>78.400000000000006</v>
      </c>
      <c r="G423" s="155"/>
      <c r="H423" s="155"/>
      <c r="I423" s="42"/>
    </row>
    <row r="424" spans="1:9" s="70" customFormat="1" ht="13.5" customHeight="1">
      <c r="A424" s="158"/>
      <c r="B424" s="131"/>
      <c r="C424" s="130"/>
      <c r="D424" s="43" t="s">
        <v>670</v>
      </c>
      <c r="E424" s="130"/>
      <c r="F424" s="44">
        <v>150.9</v>
      </c>
      <c r="G424" s="155"/>
      <c r="H424" s="155"/>
      <c r="I424" s="42"/>
    </row>
    <row r="425" spans="1:9" s="70" customFormat="1" ht="13.5" customHeight="1">
      <c r="A425" s="158"/>
      <c r="B425" s="131"/>
      <c r="C425" s="130"/>
      <c r="D425" s="43" t="s">
        <v>727</v>
      </c>
      <c r="E425" s="130"/>
      <c r="F425" s="44">
        <v>73.3</v>
      </c>
      <c r="G425" s="155"/>
      <c r="H425" s="155"/>
      <c r="I425" s="42"/>
    </row>
    <row r="426" spans="1:9" s="70" customFormat="1" ht="13.5" customHeight="1">
      <c r="A426" s="158">
        <v>108</v>
      </c>
      <c r="B426" s="130" t="s">
        <v>213</v>
      </c>
      <c r="C426" s="130" t="s">
        <v>763</v>
      </c>
      <c r="D426" s="130" t="s">
        <v>955</v>
      </c>
      <c r="E426" s="130" t="s">
        <v>21</v>
      </c>
      <c r="F426" s="159">
        <f>F430</f>
        <v>70.400000000000006</v>
      </c>
      <c r="G426" s="155"/>
      <c r="H426" s="155">
        <f>F426*G426</f>
        <v>0</v>
      </c>
      <c r="I426" s="42" t="s">
        <v>109</v>
      </c>
    </row>
    <row r="427" spans="1:9" s="70" customFormat="1" ht="13.5" customHeight="1">
      <c r="A427" s="158"/>
      <c r="B427" s="132"/>
      <c r="C427" s="132"/>
      <c r="D427" s="43" t="s">
        <v>956</v>
      </c>
      <c r="E427" s="132"/>
      <c r="F427" s="44"/>
      <c r="G427" s="166"/>
      <c r="H427" s="155"/>
      <c r="I427" s="45"/>
    </row>
    <row r="428" spans="1:9" s="70" customFormat="1" ht="40.5" customHeight="1">
      <c r="A428" s="158"/>
      <c r="B428" s="131"/>
      <c r="C428" s="130"/>
      <c r="D428" s="43" t="s">
        <v>218</v>
      </c>
      <c r="E428" s="130"/>
      <c r="F428" s="165"/>
      <c r="G428" s="155"/>
      <c r="H428" s="155"/>
      <c r="I428" s="45"/>
    </row>
    <row r="429" spans="1:9" s="70" customFormat="1" ht="13.5" customHeight="1">
      <c r="A429" s="158"/>
      <c r="B429" s="131"/>
      <c r="C429" s="130"/>
      <c r="D429" s="43" t="s">
        <v>219</v>
      </c>
      <c r="E429" s="130"/>
      <c r="F429" s="44"/>
      <c r="G429" s="155"/>
      <c r="H429" s="155"/>
      <c r="I429" s="42"/>
    </row>
    <row r="430" spans="1:9" s="70" customFormat="1" ht="13.5" customHeight="1">
      <c r="A430" s="158"/>
      <c r="B430" s="131"/>
      <c r="C430" s="130"/>
      <c r="D430" s="43" t="s">
        <v>762</v>
      </c>
      <c r="E430" s="130"/>
      <c r="F430" s="44">
        <v>70.400000000000006</v>
      </c>
      <c r="G430" s="155"/>
      <c r="H430" s="155"/>
      <c r="I430" s="42"/>
    </row>
    <row r="431" spans="1:9" s="70" customFormat="1" ht="13.5" customHeight="1">
      <c r="A431" s="158">
        <v>109</v>
      </c>
      <c r="B431" s="130" t="s">
        <v>213</v>
      </c>
      <c r="C431" s="130">
        <v>763111717</v>
      </c>
      <c r="D431" s="130" t="s">
        <v>223</v>
      </c>
      <c r="E431" s="130" t="s">
        <v>21</v>
      </c>
      <c r="F431" s="159">
        <f>F416+F426</f>
        <v>694.09999999999991</v>
      </c>
      <c r="G431" s="155"/>
      <c r="H431" s="155">
        <f>F431*G431</f>
        <v>0</v>
      </c>
      <c r="I431" s="42" t="s">
        <v>105</v>
      </c>
    </row>
    <row r="432" spans="1:9" s="70" customFormat="1" ht="27" customHeight="1">
      <c r="A432" s="158">
        <v>110</v>
      </c>
      <c r="B432" s="130" t="s">
        <v>213</v>
      </c>
      <c r="C432" s="130">
        <v>763121465</v>
      </c>
      <c r="D432" s="130" t="s">
        <v>561</v>
      </c>
      <c r="E432" s="130" t="s">
        <v>21</v>
      </c>
      <c r="F432" s="159">
        <f>F436+F437+F438+F439+F440</f>
        <v>65.400000000000006</v>
      </c>
      <c r="G432" s="155"/>
      <c r="H432" s="155">
        <f>F432*G432</f>
        <v>0</v>
      </c>
      <c r="I432" s="42" t="s">
        <v>105</v>
      </c>
    </row>
    <row r="433" spans="1:9" s="70" customFormat="1" ht="13.5" customHeight="1">
      <c r="A433" s="158"/>
      <c r="B433" s="132"/>
      <c r="C433" s="132"/>
      <c r="D433" s="43" t="s">
        <v>258</v>
      </c>
      <c r="E433" s="132"/>
      <c r="F433" s="44"/>
      <c r="G433" s="166"/>
      <c r="H433" s="155"/>
      <c r="I433" s="45"/>
    </row>
    <row r="434" spans="1:9" s="70" customFormat="1" ht="40.5" customHeight="1">
      <c r="A434" s="158"/>
      <c r="B434" s="131"/>
      <c r="C434" s="130"/>
      <c r="D434" s="43" t="s">
        <v>218</v>
      </c>
      <c r="E434" s="130"/>
      <c r="F434" s="165"/>
      <c r="G434" s="155"/>
      <c r="H434" s="155"/>
      <c r="I434" s="45"/>
    </row>
    <row r="435" spans="1:9" s="70" customFormat="1" ht="13.5" customHeight="1">
      <c r="A435" s="158"/>
      <c r="B435" s="131"/>
      <c r="C435" s="130"/>
      <c r="D435" s="43" t="s">
        <v>219</v>
      </c>
      <c r="E435" s="130"/>
      <c r="F435" s="44"/>
      <c r="G435" s="155"/>
      <c r="H435" s="155"/>
      <c r="I435" s="42"/>
    </row>
    <row r="436" spans="1:9" s="70" customFormat="1" ht="13.5" customHeight="1">
      <c r="A436" s="158"/>
      <c r="B436" s="131"/>
      <c r="C436" s="130"/>
      <c r="D436" s="43" t="s">
        <v>524</v>
      </c>
      <c r="E436" s="130"/>
      <c r="F436" s="44">
        <v>6.9</v>
      </c>
      <c r="G436" s="155"/>
      <c r="H436" s="155"/>
      <c r="I436" s="42"/>
    </row>
    <row r="437" spans="1:9" s="70" customFormat="1" ht="13.5" customHeight="1">
      <c r="A437" s="158"/>
      <c r="B437" s="131"/>
      <c r="C437" s="130"/>
      <c r="D437" s="43" t="s">
        <v>563</v>
      </c>
      <c r="E437" s="130"/>
      <c r="F437" s="44">
        <v>15</v>
      </c>
      <c r="G437" s="155"/>
      <c r="H437" s="155"/>
      <c r="I437" s="42"/>
    </row>
    <row r="438" spans="1:9" s="70" customFormat="1" ht="13.5" customHeight="1">
      <c r="A438" s="158"/>
      <c r="B438" s="131"/>
      <c r="C438" s="130"/>
      <c r="D438" s="43" t="s">
        <v>632</v>
      </c>
      <c r="E438" s="130"/>
      <c r="F438" s="44">
        <v>12.6</v>
      </c>
      <c r="G438" s="155"/>
      <c r="H438" s="155"/>
      <c r="I438" s="42"/>
    </row>
    <row r="439" spans="1:9" s="70" customFormat="1" ht="13.5" customHeight="1">
      <c r="A439" s="158"/>
      <c r="B439" s="131"/>
      <c r="C439" s="130"/>
      <c r="D439" s="43" t="s">
        <v>650</v>
      </c>
      <c r="E439" s="130"/>
      <c r="F439" s="44">
        <v>12.1</v>
      </c>
      <c r="G439" s="155"/>
      <c r="H439" s="155"/>
      <c r="I439" s="42"/>
    </row>
    <row r="440" spans="1:9" s="70" customFormat="1" ht="13.5" customHeight="1">
      <c r="A440" s="158"/>
      <c r="B440" s="131"/>
      <c r="C440" s="130"/>
      <c r="D440" s="43" t="s">
        <v>728</v>
      </c>
      <c r="E440" s="130"/>
      <c r="F440" s="44">
        <v>18.8</v>
      </c>
      <c r="G440" s="155"/>
      <c r="H440" s="155"/>
      <c r="I440" s="42"/>
    </row>
    <row r="441" spans="1:9" s="70" customFormat="1" ht="27" customHeight="1">
      <c r="A441" s="158">
        <v>111</v>
      </c>
      <c r="B441" s="130" t="s">
        <v>213</v>
      </c>
      <c r="C441" s="130">
        <v>763121466</v>
      </c>
      <c r="D441" s="130" t="s">
        <v>257</v>
      </c>
      <c r="E441" s="130" t="s">
        <v>21</v>
      </c>
      <c r="F441" s="159">
        <f>F445+F446+F447+F448+F449</f>
        <v>84.3</v>
      </c>
      <c r="G441" s="155"/>
      <c r="H441" s="155">
        <f>F441*G441</f>
        <v>0</v>
      </c>
      <c r="I441" s="42" t="s">
        <v>105</v>
      </c>
    </row>
    <row r="442" spans="1:9" s="70" customFormat="1" ht="13.5" customHeight="1">
      <c r="A442" s="158"/>
      <c r="B442" s="132"/>
      <c r="C442" s="132"/>
      <c r="D442" s="43" t="s">
        <v>258</v>
      </c>
      <c r="E442" s="132"/>
      <c r="F442" s="44"/>
      <c r="G442" s="166"/>
      <c r="H442" s="155"/>
      <c r="I442" s="45"/>
    </row>
    <row r="443" spans="1:9" s="70" customFormat="1" ht="40.5" customHeight="1">
      <c r="A443" s="158"/>
      <c r="B443" s="131"/>
      <c r="C443" s="130"/>
      <c r="D443" s="43" t="s">
        <v>218</v>
      </c>
      <c r="E443" s="130"/>
      <c r="F443" s="165"/>
      <c r="G443" s="155"/>
      <c r="H443" s="155"/>
      <c r="I443" s="45"/>
    </row>
    <row r="444" spans="1:9" s="70" customFormat="1" ht="13.5" customHeight="1">
      <c r="A444" s="158"/>
      <c r="B444" s="131"/>
      <c r="C444" s="130"/>
      <c r="D444" s="43" t="s">
        <v>219</v>
      </c>
      <c r="E444" s="130"/>
      <c r="F444" s="44"/>
      <c r="G444" s="155"/>
      <c r="H444" s="155"/>
      <c r="I444" s="42"/>
    </row>
    <row r="445" spans="1:9" s="70" customFormat="1" ht="13.5" customHeight="1">
      <c r="A445" s="158"/>
      <c r="B445" s="131"/>
      <c r="C445" s="130"/>
      <c r="D445" s="43" t="s">
        <v>261</v>
      </c>
      <c r="E445" s="130"/>
      <c r="F445" s="44">
        <v>13.1</v>
      </c>
      <c r="G445" s="155"/>
      <c r="H445" s="155"/>
      <c r="I445" s="42"/>
    </row>
    <row r="446" spans="1:9" s="70" customFormat="1" ht="13.5" customHeight="1">
      <c r="A446" s="158"/>
      <c r="B446" s="131"/>
      <c r="C446" s="130"/>
      <c r="D446" s="43" t="s">
        <v>565</v>
      </c>
      <c r="E446" s="130"/>
      <c r="F446" s="44">
        <v>14.4</v>
      </c>
      <c r="G446" s="155"/>
      <c r="H446" s="155"/>
      <c r="I446" s="42"/>
    </row>
    <row r="447" spans="1:9" s="70" customFormat="1" ht="13.5" customHeight="1">
      <c r="A447" s="158"/>
      <c r="B447" s="131"/>
      <c r="C447" s="130"/>
      <c r="D447" s="43" t="s">
        <v>633</v>
      </c>
      <c r="E447" s="130"/>
      <c r="F447" s="44">
        <v>28.6</v>
      </c>
      <c r="G447" s="155"/>
      <c r="H447" s="155"/>
      <c r="I447" s="42"/>
    </row>
    <row r="448" spans="1:9" s="70" customFormat="1" ht="13.5" customHeight="1">
      <c r="A448" s="158"/>
      <c r="B448" s="131"/>
      <c r="C448" s="130"/>
      <c r="D448" s="43" t="s">
        <v>673</v>
      </c>
      <c r="E448" s="130"/>
      <c r="F448" s="44">
        <v>14.5</v>
      </c>
      <c r="G448" s="155"/>
      <c r="H448" s="155"/>
      <c r="I448" s="42"/>
    </row>
    <row r="449" spans="1:9" s="70" customFormat="1" ht="13.5" customHeight="1">
      <c r="A449" s="158"/>
      <c r="B449" s="131"/>
      <c r="C449" s="130"/>
      <c r="D449" s="43" t="s">
        <v>729</v>
      </c>
      <c r="E449" s="130"/>
      <c r="F449" s="44">
        <v>13.7</v>
      </c>
      <c r="G449" s="155"/>
      <c r="H449" s="155"/>
      <c r="I449" s="42"/>
    </row>
    <row r="450" spans="1:9" s="70" customFormat="1" ht="28.5" customHeight="1">
      <c r="A450" s="158">
        <v>112</v>
      </c>
      <c r="B450" s="130" t="s">
        <v>213</v>
      </c>
      <c r="C450" s="130" t="s">
        <v>259</v>
      </c>
      <c r="D450" s="130" t="s">
        <v>260</v>
      </c>
      <c r="E450" s="130" t="s">
        <v>21</v>
      </c>
      <c r="F450" s="159">
        <f>F454+F455+F456+F457+F458</f>
        <v>140.89999999999998</v>
      </c>
      <c r="G450" s="155"/>
      <c r="H450" s="155">
        <f>F450*G450</f>
        <v>0</v>
      </c>
      <c r="I450" s="42" t="s">
        <v>109</v>
      </c>
    </row>
    <row r="451" spans="1:9" s="70" customFormat="1" ht="13.5" customHeight="1">
      <c r="A451" s="158"/>
      <c r="B451" s="132"/>
      <c r="C451" s="132"/>
      <c r="D451" s="43" t="s">
        <v>258</v>
      </c>
      <c r="E451" s="132"/>
      <c r="F451" s="44"/>
      <c r="G451" s="166"/>
      <c r="H451" s="155"/>
      <c r="I451" s="45"/>
    </row>
    <row r="452" spans="1:9" s="70" customFormat="1" ht="40.5" customHeight="1">
      <c r="A452" s="158"/>
      <c r="B452" s="131"/>
      <c r="C452" s="130"/>
      <c r="D452" s="43" t="s">
        <v>218</v>
      </c>
      <c r="E452" s="130"/>
      <c r="F452" s="165"/>
      <c r="G452" s="155"/>
      <c r="H452" s="155"/>
      <c r="I452" s="45"/>
    </row>
    <row r="453" spans="1:9" s="70" customFormat="1" ht="13.5" customHeight="1">
      <c r="A453" s="158"/>
      <c r="B453" s="131"/>
      <c r="C453" s="130"/>
      <c r="D453" s="43" t="s">
        <v>219</v>
      </c>
      <c r="E453" s="130"/>
      <c r="F453" s="44"/>
      <c r="G453" s="155"/>
      <c r="H453" s="155"/>
      <c r="I453" s="42"/>
    </row>
    <row r="454" spans="1:9" s="70" customFormat="1" ht="13.5" customHeight="1">
      <c r="A454" s="158"/>
      <c r="B454" s="131"/>
      <c r="C454" s="130"/>
      <c r="D454" s="43" t="s">
        <v>261</v>
      </c>
      <c r="E454" s="130"/>
      <c r="F454" s="44">
        <v>49.6</v>
      </c>
      <c r="G454" s="155"/>
      <c r="H454" s="155"/>
      <c r="I454" s="42"/>
    </row>
    <row r="455" spans="1:9" s="70" customFormat="1" ht="13.5" customHeight="1">
      <c r="A455" s="158"/>
      <c r="B455" s="131"/>
      <c r="C455" s="130"/>
      <c r="D455" s="43" t="s">
        <v>565</v>
      </c>
      <c r="E455" s="130"/>
      <c r="F455" s="44">
        <v>19.7</v>
      </c>
      <c r="G455" s="155"/>
      <c r="H455" s="155"/>
      <c r="I455" s="42"/>
    </row>
    <row r="456" spans="1:9" s="70" customFormat="1" ht="13.5" customHeight="1">
      <c r="A456" s="158"/>
      <c r="B456" s="131"/>
      <c r="C456" s="130"/>
      <c r="D456" s="43" t="s">
        <v>633</v>
      </c>
      <c r="E456" s="130"/>
      <c r="F456" s="44">
        <v>31.4</v>
      </c>
      <c r="G456" s="155"/>
      <c r="H456" s="155"/>
      <c r="I456" s="42"/>
    </row>
    <row r="457" spans="1:9" s="70" customFormat="1" ht="13.5" customHeight="1">
      <c r="A457" s="158"/>
      <c r="B457" s="131"/>
      <c r="C457" s="130"/>
      <c r="D457" s="43" t="s">
        <v>673</v>
      </c>
      <c r="E457" s="130"/>
      <c r="F457" s="44">
        <v>20.100000000000001</v>
      </c>
      <c r="G457" s="155"/>
      <c r="H457" s="155"/>
      <c r="I457" s="42"/>
    </row>
    <row r="458" spans="1:9" s="70" customFormat="1" ht="13.5" customHeight="1">
      <c r="A458" s="158"/>
      <c r="B458" s="131"/>
      <c r="C458" s="130"/>
      <c r="D458" s="43" t="s">
        <v>729</v>
      </c>
      <c r="E458" s="130"/>
      <c r="F458" s="44">
        <v>20.100000000000001</v>
      </c>
      <c r="G458" s="155"/>
      <c r="H458" s="155"/>
      <c r="I458" s="42"/>
    </row>
    <row r="459" spans="1:9" s="70" customFormat="1" ht="28.5" customHeight="1">
      <c r="A459" s="158">
        <v>113</v>
      </c>
      <c r="B459" s="130" t="s">
        <v>213</v>
      </c>
      <c r="C459" s="130" t="s">
        <v>262</v>
      </c>
      <c r="D459" s="130" t="s">
        <v>566</v>
      </c>
      <c r="E459" s="130" t="s">
        <v>21</v>
      </c>
      <c r="F459" s="159">
        <f>F463+F464</f>
        <v>4</v>
      </c>
      <c r="G459" s="155"/>
      <c r="H459" s="155">
        <f>F459*G459</f>
        <v>0</v>
      </c>
      <c r="I459" s="42" t="s">
        <v>109</v>
      </c>
    </row>
    <row r="460" spans="1:9" s="70" customFormat="1" ht="13.5" customHeight="1">
      <c r="A460" s="158"/>
      <c r="B460" s="132"/>
      <c r="C460" s="132"/>
      <c r="D460" s="43" t="s">
        <v>258</v>
      </c>
      <c r="E460" s="132"/>
      <c r="F460" s="44"/>
      <c r="G460" s="166"/>
      <c r="H460" s="155"/>
      <c r="I460" s="45"/>
    </row>
    <row r="461" spans="1:9" s="70" customFormat="1" ht="40.5" customHeight="1">
      <c r="A461" s="158"/>
      <c r="B461" s="131"/>
      <c r="C461" s="130"/>
      <c r="D461" s="43" t="s">
        <v>218</v>
      </c>
      <c r="E461" s="130"/>
      <c r="F461" s="165"/>
      <c r="G461" s="155"/>
      <c r="H461" s="155"/>
      <c r="I461" s="45"/>
    </row>
    <row r="462" spans="1:9" s="70" customFormat="1" ht="13.5" customHeight="1">
      <c r="A462" s="158"/>
      <c r="B462" s="131"/>
      <c r="C462" s="130"/>
      <c r="D462" s="43" t="s">
        <v>219</v>
      </c>
      <c r="E462" s="130"/>
      <c r="F462" s="44"/>
      <c r="G462" s="155"/>
      <c r="H462" s="155"/>
      <c r="I462" s="42"/>
    </row>
    <row r="463" spans="1:9" s="70" customFormat="1" ht="13.5" customHeight="1">
      <c r="A463" s="158"/>
      <c r="B463" s="131"/>
      <c r="C463" s="130"/>
      <c r="D463" s="43" t="s">
        <v>565</v>
      </c>
      <c r="E463" s="130"/>
      <c r="F463" s="44">
        <v>2</v>
      </c>
      <c r="G463" s="155"/>
      <c r="H463" s="155"/>
      <c r="I463" s="42"/>
    </row>
    <row r="464" spans="1:9" s="70" customFormat="1" ht="13.5" customHeight="1">
      <c r="A464" s="158"/>
      <c r="B464" s="131"/>
      <c r="C464" s="130"/>
      <c r="D464" s="43" t="s">
        <v>633</v>
      </c>
      <c r="E464" s="130"/>
      <c r="F464" s="44">
        <v>2</v>
      </c>
      <c r="G464" s="155"/>
      <c r="H464" s="155"/>
      <c r="I464" s="42"/>
    </row>
    <row r="465" spans="1:9" s="70" customFormat="1" ht="28.5" customHeight="1">
      <c r="A465" s="158">
        <v>114</v>
      </c>
      <c r="B465" s="130" t="s">
        <v>213</v>
      </c>
      <c r="C465" s="130" t="s">
        <v>671</v>
      </c>
      <c r="D465" s="130" t="s">
        <v>672</v>
      </c>
      <c r="E465" s="130" t="s">
        <v>21</v>
      </c>
      <c r="F465" s="159">
        <f>F469+F470</f>
        <v>4</v>
      </c>
      <c r="G465" s="155"/>
      <c r="H465" s="155">
        <f>F465*G465</f>
        <v>0</v>
      </c>
      <c r="I465" s="42" t="s">
        <v>109</v>
      </c>
    </row>
    <row r="466" spans="1:9" s="70" customFormat="1" ht="13.5" customHeight="1">
      <c r="A466" s="158"/>
      <c r="B466" s="132"/>
      <c r="C466" s="132"/>
      <c r="D466" s="43" t="s">
        <v>258</v>
      </c>
      <c r="E466" s="132"/>
      <c r="F466" s="44"/>
      <c r="G466" s="166"/>
      <c r="H466" s="155"/>
      <c r="I466" s="45"/>
    </row>
    <row r="467" spans="1:9" s="70" customFormat="1" ht="40.5" customHeight="1">
      <c r="A467" s="158"/>
      <c r="B467" s="131"/>
      <c r="C467" s="130"/>
      <c r="D467" s="43" t="s">
        <v>218</v>
      </c>
      <c r="E467" s="130"/>
      <c r="F467" s="165"/>
      <c r="G467" s="155"/>
      <c r="H467" s="155"/>
      <c r="I467" s="45"/>
    </row>
    <row r="468" spans="1:9" s="70" customFormat="1" ht="13.5" customHeight="1">
      <c r="A468" s="158"/>
      <c r="B468" s="131"/>
      <c r="C468" s="130"/>
      <c r="D468" s="43" t="s">
        <v>219</v>
      </c>
      <c r="E468" s="130"/>
      <c r="F468" s="44"/>
      <c r="G468" s="155"/>
      <c r="H468" s="155"/>
      <c r="I468" s="42"/>
    </row>
    <row r="469" spans="1:9" s="70" customFormat="1" ht="13.5" customHeight="1">
      <c r="A469" s="158"/>
      <c r="B469" s="131"/>
      <c r="C469" s="130"/>
      <c r="D469" s="43" t="s">
        <v>673</v>
      </c>
      <c r="E469" s="130"/>
      <c r="F469" s="44">
        <v>2</v>
      </c>
      <c r="G469" s="155"/>
      <c r="H469" s="155"/>
      <c r="I469" s="42"/>
    </row>
    <row r="470" spans="1:9" s="70" customFormat="1" ht="13.5" customHeight="1">
      <c r="A470" s="158"/>
      <c r="B470" s="131"/>
      <c r="C470" s="130"/>
      <c r="D470" s="43" t="s">
        <v>729</v>
      </c>
      <c r="E470" s="130"/>
      <c r="F470" s="44">
        <v>2</v>
      </c>
      <c r="G470" s="155"/>
      <c r="H470" s="155"/>
      <c r="I470" s="42"/>
    </row>
    <row r="471" spans="1:9" s="70" customFormat="1" ht="13.5" customHeight="1">
      <c r="A471" s="158">
        <v>115</v>
      </c>
      <c r="B471" s="130" t="s">
        <v>213</v>
      </c>
      <c r="C471" s="130">
        <v>763121714</v>
      </c>
      <c r="D471" s="130" t="s">
        <v>263</v>
      </c>
      <c r="E471" s="130" t="s">
        <v>21</v>
      </c>
      <c r="F471" s="159">
        <f>F450+F441+F432+F459+F465</f>
        <v>298.60000000000002</v>
      </c>
      <c r="G471" s="155"/>
      <c r="H471" s="155">
        <f>F471*G471</f>
        <v>0</v>
      </c>
      <c r="I471" s="42" t="s">
        <v>105</v>
      </c>
    </row>
    <row r="472" spans="1:9" s="70" customFormat="1" ht="13.5" customHeight="1">
      <c r="A472" s="158">
        <v>116</v>
      </c>
      <c r="B472" s="130">
        <v>763</v>
      </c>
      <c r="C472" s="130" t="s">
        <v>517</v>
      </c>
      <c r="D472" s="130" t="s">
        <v>520</v>
      </c>
      <c r="E472" s="130" t="s">
        <v>21</v>
      </c>
      <c r="F472" s="159">
        <f>SUM(F473:F477)</f>
        <v>321.10000000000002</v>
      </c>
      <c r="G472" s="155"/>
      <c r="H472" s="155">
        <f>F472*G472</f>
        <v>0</v>
      </c>
      <c r="I472" s="42" t="s">
        <v>109</v>
      </c>
    </row>
    <row r="473" spans="1:9" s="70" customFormat="1" ht="13.5" customHeight="1">
      <c r="A473" s="158"/>
      <c r="B473" s="130"/>
      <c r="C473" s="130"/>
      <c r="D473" s="43" t="s">
        <v>518</v>
      </c>
      <c r="E473" s="130"/>
      <c r="F473" s="44">
        <v>58.6</v>
      </c>
      <c r="G473" s="155"/>
      <c r="H473" s="155"/>
      <c r="I473" s="42"/>
    </row>
    <row r="474" spans="1:9" s="70" customFormat="1" ht="13.5" customHeight="1">
      <c r="A474" s="158"/>
      <c r="B474" s="130"/>
      <c r="C474" s="130"/>
      <c r="D474" s="43" t="s">
        <v>515</v>
      </c>
      <c r="E474" s="130"/>
      <c r="F474" s="44">
        <v>55.1</v>
      </c>
      <c r="G474" s="155"/>
      <c r="H474" s="155"/>
      <c r="I474" s="42"/>
    </row>
    <row r="475" spans="1:9" s="70" customFormat="1" ht="13.5" customHeight="1">
      <c r="A475" s="158"/>
      <c r="B475" s="130"/>
      <c r="C475" s="130"/>
      <c r="D475" s="43" t="s">
        <v>613</v>
      </c>
      <c r="E475" s="130"/>
      <c r="F475" s="44">
        <v>87.9</v>
      </c>
      <c r="G475" s="155"/>
      <c r="H475" s="155"/>
      <c r="I475" s="42"/>
    </row>
    <row r="476" spans="1:9" s="70" customFormat="1" ht="13.5" customHeight="1">
      <c r="A476" s="158"/>
      <c r="B476" s="130"/>
      <c r="C476" s="130"/>
      <c r="D476" s="43" t="s">
        <v>648</v>
      </c>
      <c r="E476" s="130"/>
      <c r="F476" s="44">
        <v>71</v>
      </c>
      <c r="G476" s="155"/>
      <c r="H476" s="155"/>
      <c r="I476" s="42"/>
    </row>
    <row r="477" spans="1:9" s="70" customFormat="1" ht="13.5" customHeight="1">
      <c r="A477" s="158"/>
      <c r="B477" s="130"/>
      <c r="C477" s="130"/>
      <c r="D477" s="43" t="s">
        <v>715</v>
      </c>
      <c r="E477" s="130"/>
      <c r="F477" s="44">
        <v>48.5</v>
      </c>
      <c r="G477" s="155"/>
      <c r="H477" s="155"/>
      <c r="I477" s="42"/>
    </row>
    <row r="478" spans="1:9" s="70" customFormat="1" ht="26.25" customHeight="1">
      <c r="A478" s="158"/>
      <c r="B478" s="131"/>
      <c r="C478" s="130"/>
      <c r="D478" s="43" t="s">
        <v>519</v>
      </c>
      <c r="E478" s="130"/>
      <c r="F478" s="165"/>
      <c r="G478" s="155"/>
      <c r="H478" s="155"/>
      <c r="I478" s="45"/>
    </row>
    <row r="479" spans="1:9" s="70" customFormat="1" ht="13.5" customHeight="1">
      <c r="A479" s="158">
        <v>117</v>
      </c>
      <c r="B479" s="130">
        <v>763</v>
      </c>
      <c r="C479" s="130" t="s">
        <v>514</v>
      </c>
      <c r="D479" s="130" t="s">
        <v>516</v>
      </c>
      <c r="E479" s="130" t="s">
        <v>21</v>
      </c>
      <c r="F479" s="159">
        <f>SUM(F480:F484)</f>
        <v>51.500000000000007</v>
      </c>
      <c r="G479" s="155"/>
      <c r="H479" s="155">
        <f>F479*G479</f>
        <v>0</v>
      </c>
      <c r="I479" s="42" t="s">
        <v>109</v>
      </c>
    </row>
    <row r="480" spans="1:9" s="70" customFormat="1" ht="13.5" customHeight="1">
      <c r="A480" s="158"/>
      <c r="B480" s="130"/>
      <c r="C480" s="130"/>
      <c r="D480" s="43" t="s">
        <v>518</v>
      </c>
      <c r="E480" s="130"/>
      <c r="F480" s="44">
        <v>26.7</v>
      </c>
      <c r="G480" s="155"/>
      <c r="H480" s="155"/>
      <c r="I480" s="42"/>
    </row>
    <row r="481" spans="1:9" s="70" customFormat="1" ht="13.5" customHeight="1">
      <c r="A481" s="158"/>
      <c r="B481" s="130"/>
      <c r="C481" s="130"/>
      <c r="D481" s="43" t="s">
        <v>515</v>
      </c>
      <c r="E481" s="130"/>
      <c r="F481" s="44">
        <v>6.2</v>
      </c>
      <c r="G481" s="155"/>
      <c r="H481" s="155"/>
      <c r="I481" s="42"/>
    </row>
    <row r="482" spans="1:9" s="70" customFormat="1" ht="13.5" customHeight="1">
      <c r="A482" s="158"/>
      <c r="B482" s="130"/>
      <c r="C482" s="130"/>
      <c r="D482" s="43" t="s">
        <v>613</v>
      </c>
      <c r="E482" s="130"/>
      <c r="F482" s="44">
        <v>6.2</v>
      </c>
      <c r="G482" s="155"/>
      <c r="H482" s="155"/>
      <c r="I482" s="42"/>
    </row>
    <row r="483" spans="1:9" s="70" customFormat="1" ht="13.5" customHeight="1">
      <c r="A483" s="158"/>
      <c r="B483" s="130"/>
      <c r="C483" s="130"/>
      <c r="D483" s="43" t="s">
        <v>648</v>
      </c>
      <c r="E483" s="130"/>
      <c r="F483" s="44">
        <v>6.2</v>
      </c>
      <c r="G483" s="155"/>
      <c r="H483" s="155"/>
      <c r="I483" s="42"/>
    </row>
    <row r="484" spans="1:9" s="70" customFormat="1" ht="13.5" customHeight="1">
      <c r="A484" s="158"/>
      <c r="B484" s="130"/>
      <c r="C484" s="130"/>
      <c r="D484" s="43" t="s">
        <v>715</v>
      </c>
      <c r="E484" s="130"/>
      <c r="F484" s="44">
        <v>6.2</v>
      </c>
      <c r="G484" s="155"/>
      <c r="H484" s="155"/>
      <c r="I484" s="42"/>
    </row>
    <row r="485" spans="1:9" s="70" customFormat="1" ht="26.25" customHeight="1">
      <c r="A485" s="158"/>
      <c r="B485" s="131"/>
      <c r="C485" s="130"/>
      <c r="D485" s="43" t="s">
        <v>647</v>
      </c>
      <c r="E485" s="130"/>
      <c r="F485" s="165"/>
      <c r="G485" s="155"/>
      <c r="H485" s="155"/>
      <c r="I485" s="45"/>
    </row>
    <row r="486" spans="1:9" s="70" customFormat="1" ht="13.5" customHeight="1">
      <c r="A486" s="158">
        <v>118</v>
      </c>
      <c r="B486" s="130">
        <v>763</v>
      </c>
      <c r="C486" s="130">
        <v>763131511</v>
      </c>
      <c r="D486" s="130" t="s">
        <v>880</v>
      </c>
      <c r="E486" s="130" t="s">
        <v>21</v>
      </c>
      <c r="F486" s="159">
        <f>SUM(F487:F493)</f>
        <v>332</v>
      </c>
      <c r="G486" s="155"/>
      <c r="H486" s="155">
        <f>F486*G486</f>
        <v>0</v>
      </c>
      <c r="I486" s="42" t="s">
        <v>105</v>
      </c>
    </row>
    <row r="487" spans="1:9" s="70" customFormat="1" ht="13.5" customHeight="1">
      <c r="A487" s="158"/>
      <c r="B487" s="130"/>
      <c r="C487" s="130"/>
      <c r="D487" s="43" t="s">
        <v>265</v>
      </c>
      <c r="E487" s="130"/>
      <c r="F487" s="44">
        <v>37.9</v>
      </c>
      <c r="G487" s="155"/>
      <c r="H487" s="155"/>
      <c r="I487" s="42"/>
    </row>
    <row r="488" spans="1:9" s="70" customFormat="1" ht="13.5" customHeight="1">
      <c r="A488" s="158"/>
      <c r="B488" s="130"/>
      <c r="C488" s="130"/>
      <c r="D488" s="43" t="s">
        <v>524</v>
      </c>
      <c r="E488" s="130"/>
      <c r="F488" s="44">
        <v>2</v>
      </c>
      <c r="G488" s="155"/>
      <c r="H488" s="155"/>
      <c r="I488" s="42"/>
    </row>
    <row r="489" spans="1:9" s="70" customFormat="1" ht="13.5" customHeight="1">
      <c r="A489" s="158"/>
      <c r="B489" s="130"/>
      <c r="C489" s="130"/>
      <c r="D489" s="43" t="s">
        <v>348</v>
      </c>
      <c r="E489" s="130"/>
      <c r="F489" s="44">
        <v>33.5</v>
      </c>
      <c r="G489" s="155"/>
      <c r="H489" s="155"/>
      <c r="I489" s="42"/>
    </row>
    <row r="490" spans="1:9" s="70" customFormat="1" ht="13.5" customHeight="1">
      <c r="A490" s="158"/>
      <c r="B490" s="130"/>
      <c r="C490" s="130"/>
      <c r="D490" s="43" t="s">
        <v>612</v>
      </c>
      <c r="E490" s="130"/>
      <c r="F490" s="44">
        <v>4.9000000000000004</v>
      </c>
      <c r="G490" s="155"/>
      <c r="H490" s="155"/>
      <c r="I490" s="42"/>
    </row>
    <row r="491" spans="1:9" s="70" customFormat="1" ht="13.5" customHeight="1">
      <c r="A491" s="158"/>
      <c r="B491" s="130"/>
      <c r="C491" s="130"/>
      <c r="D491" s="43" t="s">
        <v>646</v>
      </c>
      <c r="E491" s="130"/>
      <c r="F491" s="44">
        <v>137</v>
      </c>
      <c r="G491" s="155"/>
      <c r="H491" s="155"/>
      <c r="I491" s="42"/>
    </row>
    <row r="492" spans="1:9" s="70" customFormat="1" ht="13.5" customHeight="1">
      <c r="A492" s="158"/>
      <c r="B492" s="130"/>
      <c r="C492" s="130"/>
      <c r="D492" s="43" t="s">
        <v>650</v>
      </c>
      <c r="E492" s="130"/>
      <c r="F492" s="44">
        <v>16.8</v>
      </c>
      <c r="G492" s="155"/>
      <c r="H492" s="155"/>
      <c r="I492" s="42"/>
    </row>
    <row r="493" spans="1:9" s="70" customFormat="1" ht="13.5" customHeight="1">
      <c r="A493" s="158"/>
      <c r="B493" s="130"/>
      <c r="C493" s="130"/>
      <c r="D493" s="43" t="s">
        <v>714</v>
      </c>
      <c r="E493" s="130"/>
      <c r="F493" s="44">
        <v>99.9</v>
      </c>
      <c r="G493" s="155"/>
      <c r="H493" s="155"/>
      <c r="I493" s="42"/>
    </row>
    <row r="494" spans="1:9" s="70" customFormat="1" ht="26.25" customHeight="1">
      <c r="A494" s="158"/>
      <c r="B494" s="131"/>
      <c r="C494" s="130"/>
      <c r="D494" s="43" t="s">
        <v>264</v>
      </c>
      <c r="E494" s="130"/>
      <c r="F494" s="165"/>
      <c r="G494" s="155"/>
      <c r="H494" s="155"/>
      <c r="I494" s="45"/>
    </row>
    <row r="495" spans="1:9" s="70" customFormat="1" ht="13.5" customHeight="1">
      <c r="A495" s="158">
        <v>119</v>
      </c>
      <c r="B495" s="130">
        <v>763</v>
      </c>
      <c r="C495" s="130">
        <v>763131532</v>
      </c>
      <c r="D495" s="130" t="s">
        <v>480</v>
      </c>
      <c r="E495" s="130" t="s">
        <v>21</v>
      </c>
      <c r="F495" s="159">
        <f>SUM(F496:F501)</f>
        <v>740.4</v>
      </c>
      <c r="G495" s="155"/>
      <c r="H495" s="155">
        <f>F495*G495</f>
        <v>0</v>
      </c>
      <c r="I495" s="42" t="s">
        <v>105</v>
      </c>
    </row>
    <row r="496" spans="1:9" s="70" customFormat="1" ht="13.5" customHeight="1">
      <c r="A496" s="158"/>
      <c r="B496" s="130"/>
      <c r="C496" s="130"/>
      <c r="D496" s="43" t="s">
        <v>512</v>
      </c>
      <c r="E496" s="130"/>
      <c r="F496" s="44">
        <v>253.7</v>
      </c>
      <c r="G496" s="155"/>
      <c r="H496" s="155"/>
      <c r="I496" s="42"/>
    </row>
    <row r="497" spans="1:11" s="70" customFormat="1" ht="13.5" customHeight="1">
      <c r="A497" s="158"/>
      <c r="B497" s="130"/>
      <c r="C497" s="130"/>
      <c r="D497" s="43" t="s">
        <v>822</v>
      </c>
      <c r="E497" s="130"/>
      <c r="F497" s="44">
        <f>47.8+32.3+1.1</f>
        <v>81.199999999999989</v>
      </c>
      <c r="G497" s="155"/>
      <c r="H497" s="155"/>
      <c r="I497" s="42"/>
    </row>
    <row r="498" spans="1:11" s="70" customFormat="1" ht="13.5" customHeight="1">
      <c r="A498" s="158"/>
      <c r="B498" s="130"/>
      <c r="C498" s="130"/>
      <c r="D498" s="43" t="s">
        <v>828</v>
      </c>
      <c r="E498" s="130"/>
      <c r="F498" s="44">
        <f>49.9+34.4+1.7</f>
        <v>86</v>
      </c>
      <c r="G498" s="155"/>
      <c r="H498" s="155"/>
      <c r="I498" s="42"/>
      <c r="K498" s="149"/>
    </row>
    <row r="499" spans="1:11" s="70" customFormat="1" ht="13.5" customHeight="1">
      <c r="A499" s="158"/>
      <c r="B499" s="130"/>
      <c r="C499" s="130"/>
      <c r="D499" s="43" t="s">
        <v>829</v>
      </c>
      <c r="E499" s="130"/>
      <c r="F499" s="44">
        <f>50+34.6+1.7</f>
        <v>86.3</v>
      </c>
      <c r="G499" s="155"/>
      <c r="H499" s="155"/>
      <c r="I499" s="42"/>
    </row>
    <row r="500" spans="1:11" s="70" customFormat="1" ht="13.5" customHeight="1">
      <c r="A500" s="158"/>
      <c r="B500" s="130"/>
      <c r="C500" s="130"/>
      <c r="D500" s="43" t="s">
        <v>830</v>
      </c>
      <c r="E500" s="130"/>
      <c r="F500" s="44">
        <f>45.7+22.7+35.7+36.9+1.7</f>
        <v>142.69999999999999</v>
      </c>
      <c r="G500" s="155"/>
      <c r="H500" s="155"/>
      <c r="I500" s="42"/>
    </row>
    <row r="501" spans="1:11" s="70" customFormat="1" ht="13.5" customHeight="1">
      <c r="A501" s="158"/>
      <c r="B501" s="130"/>
      <c r="C501" s="130"/>
      <c r="D501" s="43" t="s">
        <v>831</v>
      </c>
      <c r="E501" s="130"/>
      <c r="F501" s="44">
        <f>23.4+23.5+7.3+34.4+1.9</f>
        <v>90.5</v>
      </c>
      <c r="G501" s="155"/>
      <c r="H501" s="155"/>
      <c r="I501" s="42"/>
    </row>
    <row r="502" spans="1:11" s="70" customFormat="1" ht="26.25" customHeight="1">
      <c r="A502" s="158"/>
      <c r="B502" s="131"/>
      <c r="C502" s="130"/>
      <c r="D502" s="43" t="s">
        <v>264</v>
      </c>
      <c r="E502" s="130"/>
      <c r="F502" s="165"/>
      <c r="G502" s="155"/>
      <c r="H502" s="155"/>
      <c r="I502" s="45"/>
    </row>
    <row r="503" spans="1:11" s="70" customFormat="1" ht="13.5" customHeight="1">
      <c r="A503" s="158">
        <v>120</v>
      </c>
      <c r="B503" s="130" t="s">
        <v>213</v>
      </c>
      <c r="C503" s="130">
        <v>763131714</v>
      </c>
      <c r="D503" s="130" t="s">
        <v>266</v>
      </c>
      <c r="E503" s="130" t="s">
        <v>21</v>
      </c>
      <c r="F503" s="159">
        <f>F486+F495</f>
        <v>1072.4000000000001</v>
      </c>
      <c r="G503" s="155"/>
      <c r="H503" s="155">
        <f>F503*G503</f>
        <v>0</v>
      </c>
      <c r="I503" s="42" t="s">
        <v>105</v>
      </c>
    </row>
    <row r="504" spans="1:11" s="70" customFormat="1" ht="13.5" customHeight="1">
      <c r="A504" s="158">
        <v>121</v>
      </c>
      <c r="B504" s="130" t="s">
        <v>213</v>
      </c>
      <c r="C504" s="130">
        <v>763164717</v>
      </c>
      <c r="D504" s="130" t="s">
        <v>481</v>
      </c>
      <c r="E504" s="130" t="s">
        <v>21</v>
      </c>
      <c r="F504" s="159">
        <f>F506</f>
        <v>38.5</v>
      </c>
      <c r="G504" s="155"/>
      <c r="H504" s="155">
        <f>F504*G504</f>
        <v>0</v>
      </c>
      <c r="I504" s="42" t="s">
        <v>105</v>
      </c>
    </row>
    <row r="505" spans="1:11" s="70" customFormat="1" ht="40.5" customHeight="1">
      <c r="A505" s="158"/>
      <c r="B505" s="131"/>
      <c r="C505" s="130"/>
      <c r="D505" s="43" t="s">
        <v>218</v>
      </c>
      <c r="E505" s="130"/>
      <c r="F505" s="165"/>
      <c r="G505" s="155"/>
      <c r="H505" s="155"/>
      <c r="I505" s="45"/>
    </row>
    <row r="506" spans="1:11" s="70" customFormat="1" ht="13.5" customHeight="1">
      <c r="A506" s="158"/>
      <c r="B506" s="131"/>
      <c r="C506" s="130"/>
      <c r="D506" s="43" t="s">
        <v>482</v>
      </c>
      <c r="E506" s="130"/>
      <c r="F506" s="44">
        <v>38.5</v>
      </c>
      <c r="G506" s="155"/>
      <c r="H506" s="155"/>
      <c r="I506" s="42"/>
    </row>
    <row r="507" spans="1:11" s="70" customFormat="1" ht="13.5" customHeight="1">
      <c r="A507" s="158">
        <v>122</v>
      </c>
      <c r="B507" s="130" t="s">
        <v>213</v>
      </c>
      <c r="C507" s="130" t="s">
        <v>785</v>
      </c>
      <c r="D507" s="130" t="s">
        <v>786</v>
      </c>
      <c r="E507" s="130" t="s">
        <v>21</v>
      </c>
      <c r="F507" s="159">
        <f>F509</f>
        <v>31.7</v>
      </c>
      <c r="G507" s="155"/>
      <c r="H507" s="155">
        <f>F507*G507</f>
        <v>0</v>
      </c>
      <c r="I507" s="42" t="s">
        <v>109</v>
      </c>
    </row>
    <row r="508" spans="1:11" s="70" customFormat="1" ht="40.5" customHeight="1">
      <c r="A508" s="158"/>
      <c r="B508" s="131"/>
      <c r="C508" s="130"/>
      <c r="D508" s="43" t="s">
        <v>218</v>
      </c>
      <c r="E508" s="130"/>
      <c r="F508" s="165"/>
      <c r="G508" s="155"/>
      <c r="H508" s="155"/>
      <c r="I508" s="45"/>
    </row>
    <row r="509" spans="1:11" s="70" customFormat="1" ht="13.5" customHeight="1">
      <c r="A509" s="158"/>
      <c r="B509" s="131"/>
      <c r="C509" s="130"/>
      <c r="D509" s="43" t="s">
        <v>787</v>
      </c>
      <c r="E509" s="130"/>
      <c r="F509" s="44">
        <v>31.7</v>
      </c>
      <c r="G509" s="155"/>
      <c r="H509" s="155"/>
      <c r="I509" s="42"/>
    </row>
    <row r="510" spans="1:11" s="70" customFormat="1" ht="27" customHeight="1">
      <c r="A510" s="158">
        <v>123</v>
      </c>
      <c r="B510" s="130" t="s">
        <v>213</v>
      </c>
      <c r="C510" s="130" t="s">
        <v>521</v>
      </c>
      <c r="D510" s="130" t="s">
        <v>742</v>
      </c>
      <c r="E510" s="130" t="s">
        <v>21</v>
      </c>
      <c r="F510" s="159">
        <f>SUM(F512:F515)</f>
        <v>1333.97</v>
      </c>
      <c r="G510" s="155"/>
      <c r="H510" s="155">
        <f>F510*G510</f>
        <v>0</v>
      </c>
      <c r="I510" s="42" t="s">
        <v>109</v>
      </c>
    </row>
    <row r="511" spans="1:11" s="70" customFormat="1" ht="24.75" customHeight="1">
      <c r="A511" s="158"/>
      <c r="B511" s="131"/>
      <c r="C511" s="130"/>
      <c r="D511" s="43" t="s">
        <v>522</v>
      </c>
      <c r="E511" s="130"/>
      <c r="F511" s="165"/>
      <c r="G511" s="155"/>
      <c r="H511" s="155"/>
      <c r="I511" s="45"/>
    </row>
    <row r="512" spans="1:11" s="70" customFormat="1" ht="13.5" customHeight="1">
      <c r="A512" s="158"/>
      <c r="B512" s="131"/>
      <c r="C512" s="130"/>
      <c r="D512" s="43" t="s">
        <v>743</v>
      </c>
      <c r="E512" s="130"/>
      <c r="F512" s="44">
        <f>255.6*1.1</f>
        <v>281.16000000000003</v>
      </c>
      <c r="G512" s="155"/>
      <c r="H512" s="155"/>
      <c r="I512" s="42"/>
    </row>
    <row r="513" spans="1:12" s="70" customFormat="1" ht="13.5" customHeight="1">
      <c r="A513" s="158"/>
      <c r="B513" s="131"/>
      <c r="C513" s="130"/>
      <c r="D513" s="43" t="s">
        <v>744</v>
      </c>
      <c r="E513" s="130"/>
      <c r="F513" s="44">
        <f>313.7*1.1</f>
        <v>345.07</v>
      </c>
      <c r="G513" s="155"/>
      <c r="H513" s="155"/>
      <c r="I513" s="42"/>
    </row>
    <row r="514" spans="1:12" s="70" customFormat="1" ht="13.5" customHeight="1">
      <c r="A514" s="158"/>
      <c r="B514" s="131"/>
      <c r="C514" s="130"/>
      <c r="D514" s="43" t="s">
        <v>745</v>
      </c>
      <c r="E514" s="130"/>
      <c r="F514" s="44">
        <f>322.4*1.1</f>
        <v>354.64</v>
      </c>
      <c r="G514" s="155"/>
      <c r="H514" s="155"/>
      <c r="I514" s="42"/>
    </row>
    <row r="515" spans="1:12" s="70" customFormat="1" ht="13.5" customHeight="1">
      <c r="A515" s="158"/>
      <c r="B515" s="131"/>
      <c r="C515" s="130"/>
      <c r="D515" s="43" t="s">
        <v>746</v>
      </c>
      <c r="E515" s="130"/>
      <c r="F515" s="44">
        <f>321*1.1</f>
        <v>353.1</v>
      </c>
      <c r="G515" s="155"/>
      <c r="H515" s="155"/>
      <c r="I515" s="42"/>
    </row>
    <row r="516" spans="1:12" s="70" customFormat="1" ht="27" customHeight="1">
      <c r="A516" s="158">
        <v>124</v>
      </c>
      <c r="B516" s="130" t="s">
        <v>213</v>
      </c>
      <c r="C516" s="130" t="s">
        <v>747</v>
      </c>
      <c r="D516" s="130" t="s">
        <v>523</v>
      </c>
      <c r="E516" s="130" t="s">
        <v>21</v>
      </c>
      <c r="F516" s="159">
        <f>SUM(F518:F526)</f>
        <v>134.55310000000003</v>
      </c>
      <c r="G516" s="155"/>
      <c r="H516" s="155">
        <f>F516*G516</f>
        <v>0</v>
      </c>
      <c r="I516" s="42" t="s">
        <v>109</v>
      </c>
    </row>
    <row r="517" spans="1:12" s="70" customFormat="1" ht="24.75" customHeight="1">
      <c r="A517" s="158"/>
      <c r="B517" s="131"/>
      <c r="C517" s="130"/>
      <c r="D517" s="43" t="s">
        <v>522</v>
      </c>
      <c r="E517" s="130"/>
      <c r="F517" s="165"/>
      <c r="G517" s="155"/>
      <c r="H517" s="155"/>
      <c r="I517" s="45"/>
    </row>
    <row r="518" spans="1:12" s="70" customFormat="1" ht="13.5" customHeight="1">
      <c r="A518" s="158"/>
      <c r="B518" s="131"/>
      <c r="C518" s="130"/>
      <c r="D518" s="43" t="s">
        <v>567</v>
      </c>
      <c r="E518" s="130"/>
      <c r="F518" s="44">
        <f>(6.41+6.06)*1.1*1.1</f>
        <v>15.088700000000001</v>
      </c>
      <c r="G518" s="155"/>
      <c r="H518" s="155"/>
      <c r="I518" s="42"/>
      <c r="L518" s="149"/>
    </row>
    <row r="519" spans="1:12" s="70" customFormat="1" ht="13.5" customHeight="1">
      <c r="A519" s="158"/>
      <c r="B519" s="131"/>
      <c r="C519" s="130"/>
      <c r="D519" s="43" t="s">
        <v>568</v>
      </c>
      <c r="E519" s="130"/>
      <c r="F519" s="44">
        <f xml:space="preserve"> (6.125+6.125)*1.1*1.1</f>
        <v>14.822500000000003</v>
      </c>
      <c r="G519" s="155"/>
      <c r="H519" s="155"/>
      <c r="I519" s="42"/>
    </row>
    <row r="520" spans="1:12" s="70" customFormat="1" ht="13.5" customHeight="1">
      <c r="A520" s="158"/>
      <c r="B520" s="131"/>
      <c r="C520" s="130"/>
      <c r="D520" s="43" t="s">
        <v>623</v>
      </c>
      <c r="E520" s="130"/>
      <c r="F520" s="44">
        <f xml:space="preserve"> (6.345+6.345+6.33+6.33)*1.1*1.1</f>
        <v>30.673500000000008</v>
      </c>
      <c r="G520" s="155"/>
      <c r="H520" s="155"/>
      <c r="I520" s="42"/>
    </row>
    <row r="521" spans="1:12" s="70" customFormat="1" ht="13.5" customHeight="1">
      <c r="A521" s="158"/>
      <c r="B521" s="131"/>
      <c r="C521" s="130"/>
      <c r="D521" s="43" t="s">
        <v>678</v>
      </c>
      <c r="E521" s="130"/>
      <c r="F521" s="44">
        <f>(6.76)*1.1*1.1</f>
        <v>8.1796000000000006</v>
      </c>
      <c r="G521" s="155"/>
      <c r="H521" s="155"/>
      <c r="I521" s="42"/>
    </row>
    <row r="522" spans="1:12" s="12" customFormat="1" ht="13.5" customHeight="1">
      <c r="A522" s="158"/>
      <c r="B522" s="131"/>
      <c r="C522" s="130"/>
      <c r="D522" s="43" t="s">
        <v>679</v>
      </c>
      <c r="E522" s="130"/>
      <c r="F522" s="44">
        <f>(0.95*2+0.73*2)*3.5*1.1</f>
        <v>12.936</v>
      </c>
      <c r="G522" s="155"/>
      <c r="H522" s="155"/>
      <c r="I522" s="42"/>
    </row>
    <row r="523" spans="1:12" s="12" customFormat="1" ht="13.5" customHeight="1">
      <c r="A523" s="158"/>
      <c r="B523" s="131"/>
      <c r="C523" s="130"/>
      <c r="D523" s="43" t="s">
        <v>680</v>
      </c>
      <c r="E523" s="130"/>
      <c r="F523" s="44">
        <f>(0.95*2+0.73*2)*3.6*1.1</f>
        <v>13.305600000000002</v>
      </c>
      <c r="G523" s="155"/>
      <c r="H523" s="155"/>
      <c r="I523" s="42"/>
    </row>
    <row r="524" spans="1:12" s="12" customFormat="1" ht="13.5" customHeight="1">
      <c r="A524" s="158"/>
      <c r="B524" s="131"/>
      <c r="C524" s="130"/>
      <c r="D524" s="43" t="s">
        <v>681</v>
      </c>
      <c r="E524" s="130"/>
      <c r="F524" s="44">
        <f>(0.95*2+0.73*2)*3.6*1.1</f>
        <v>13.305600000000002</v>
      </c>
      <c r="G524" s="155"/>
      <c r="H524" s="155"/>
      <c r="I524" s="42"/>
    </row>
    <row r="525" spans="1:12" s="12" customFormat="1" ht="13.5" customHeight="1">
      <c r="A525" s="158"/>
      <c r="B525" s="131"/>
      <c r="C525" s="130"/>
      <c r="D525" s="43" t="s">
        <v>682</v>
      </c>
      <c r="E525" s="130"/>
      <c r="F525" s="44">
        <f>(0.95*2+0.73*2)*3.6*1.1</f>
        <v>13.305600000000002</v>
      </c>
      <c r="G525" s="155"/>
      <c r="H525" s="155"/>
      <c r="I525" s="42"/>
    </row>
    <row r="526" spans="1:12" s="2" customFormat="1" ht="13.5" customHeight="1">
      <c r="A526" s="5"/>
      <c r="B526" s="6"/>
      <c r="C526" s="6"/>
      <c r="D526" s="135" t="s">
        <v>838</v>
      </c>
      <c r="E526" s="6"/>
      <c r="F526" s="44">
        <f>(0.95*2+0.73*2)*3.5*1.1</f>
        <v>12.936</v>
      </c>
      <c r="G526" s="8"/>
      <c r="H526" s="8"/>
      <c r="I526" s="45"/>
      <c r="J526" s="63"/>
      <c r="K526" s="66"/>
      <c r="L526" s="12"/>
    </row>
    <row r="527" spans="1:12" s="46" customFormat="1" ht="13.5" customHeight="1">
      <c r="A527" s="158">
        <v>125</v>
      </c>
      <c r="B527" s="131" t="s">
        <v>213</v>
      </c>
      <c r="C527" s="130">
        <v>998763404</v>
      </c>
      <c r="D527" s="130" t="s">
        <v>217</v>
      </c>
      <c r="E527" s="130" t="s">
        <v>42</v>
      </c>
      <c r="F527" s="159">
        <v>2.02</v>
      </c>
      <c r="G527" s="155"/>
      <c r="H527" s="155">
        <f>F527*G527</f>
        <v>0</v>
      </c>
      <c r="I527" s="42" t="s">
        <v>105</v>
      </c>
      <c r="J527" s="12"/>
      <c r="K527" s="12"/>
      <c r="L527" s="12"/>
    </row>
    <row r="528" spans="1:12" s="10" customFormat="1" ht="13.5" customHeight="1">
      <c r="A528" s="158">
        <v>126</v>
      </c>
      <c r="B528" s="130" t="s">
        <v>131</v>
      </c>
      <c r="C528" s="130" t="s">
        <v>214</v>
      </c>
      <c r="D528" s="130" t="s">
        <v>215</v>
      </c>
      <c r="E528" s="130" t="s">
        <v>28</v>
      </c>
      <c r="F528" s="159">
        <f>F529</f>
        <v>50</v>
      </c>
      <c r="G528" s="155"/>
      <c r="H528" s="155">
        <f>F528*G528</f>
        <v>0</v>
      </c>
      <c r="I528" s="42" t="s">
        <v>105</v>
      </c>
      <c r="J528" s="9"/>
      <c r="K528" s="9"/>
      <c r="L528" s="9"/>
    </row>
    <row r="529" spans="1:18" s="2" customFormat="1" ht="13.5" customHeight="1">
      <c r="A529" s="164"/>
      <c r="B529" s="132"/>
      <c r="C529" s="132"/>
      <c r="D529" s="43" t="s">
        <v>216</v>
      </c>
      <c r="E529" s="132"/>
      <c r="F529" s="44">
        <v>50</v>
      </c>
      <c r="G529" s="166"/>
      <c r="H529" s="155"/>
      <c r="I529" s="45"/>
      <c r="J529" s="12"/>
      <c r="K529" s="12"/>
      <c r="L529" s="12"/>
    </row>
    <row r="530" spans="1:18" s="2" customFormat="1" ht="13.5" customHeight="1">
      <c r="A530" s="164"/>
      <c r="B530" s="132"/>
      <c r="C530" s="132"/>
      <c r="D530" s="43" t="s">
        <v>43</v>
      </c>
      <c r="E530" s="132"/>
      <c r="F530" s="44"/>
      <c r="G530" s="166"/>
      <c r="H530" s="155"/>
      <c r="I530" s="45"/>
      <c r="J530" s="12"/>
      <c r="K530" s="12"/>
      <c r="L530" s="12"/>
    </row>
    <row r="531" spans="1:18" s="46" customFormat="1" ht="13.5" customHeight="1">
      <c r="A531" s="5"/>
      <c r="B531" s="6"/>
      <c r="C531" s="6">
        <v>765</v>
      </c>
      <c r="D531" s="6" t="s">
        <v>94</v>
      </c>
      <c r="E531" s="6"/>
      <c r="F531" s="7"/>
      <c r="G531" s="8"/>
      <c r="H531" s="8">
        <f>H532+SUM(H541:H550)</f>
        <v>0</v>
      </c>
      <c r="I531" s="68"/>
      <c r="J531" s="12"/>
      <c r="K531" s="65"/>
      <c r="L531" s="12"/>
    </row>
    <row r="532" spans="1:18" s="12" customFormat="1" ht="13.5" customHeight="1">
      <c r="A532" s="158">
        <v>127</v>
      </c>
      <c r="B532" s="130">
        <v>765</v>
      </c>
      <c r="C532" s="130" t="s">
        <v>177</v>
      </c>
      <c r="D532" s="130" t="s">
        <v>894</v>
      </c>
      <c r="E532" s="130" t="s">
        <v>21</v>
      </c>
      <c r="F532" s="159">
        <f>F533</f>
        <v>25.2</v>
      </c>
      <c r="G532" s="167">
        <f>SUM(H534:H540)/F532</f>
        <v>0</v>
      </c>
      <c r="H532" s="155">
        <f>F532*G532</f>
        <v>0</v>
      </c>
      <c r="I532" s="42" t="s">
        <v>109</v>
      </c>
    </row>
    <row r="533" spans="1:18" s="12" customFormat="1" ht="13.5" customHeight="1">
      <c r="A533" s="158"/>
      <c r="B533" s="131"/>
      <c r="C533" s="130"/>
      <c r="D533" s="43" t="s">
        <v>872</v>
      </c>
      <c r="E533" s="130"/>
      <c r="F533" s="44">
        <v>25.2</v>
      </c>
      <c r="G533" s="155"/>
      <c r="H533" s="155"/>
      <c r="I533" s="42"/>
    </row>
    <row r="534" spans="1:18" s="12" customFormat="1" ht="26.25" customHeight="1">
      <c r="A534" s="107" t="s">
        <v>977</v>
      </c>
      <c r="B534" s="71"/>
      <c r="C534" s="71"/>
      <c r="D534" s="43" t="s">
        <v>874</v>
      </c>
      <c r="E534" s="114" t="s">
        <v>21</v>
      </c>
      <c r="F534" s="72">
        <v>27.8</v>
      </c>
      <c r="G534" s="67"/>
      <c r="H534" s="44">
        <f>F534*G534</f>
        <v>0</v>
      </c>
      <c r="I534" s="42"/>
      <c r="K534" s="115"/>
      <c r="L534" s="116"/>
      <c r="M534" s="116"/>
      <c r="N534" s="106"/>
      <c r="O534" s="116"/>
      <c r="P534" s="117"/>
      <c r="Q534" s="118"/>
      <c r="R534" s="119"/>
    </row>
    <row r="535" spans="1:18" s="12" customFormat="1" ht="13.5" customHeight="1">
      <c r="A535" s="107" t="s">
        <v>978</v>
      </c>
      <c r="B535" s="71"/>
      <c r="C535" s="71"/>
      <c r="D535" s="43" t="s">
        <v>472</v>
      </c>
      <c r="E535" s="135"/>
      <c r="F535" s="44"/>
      <c r="G535" s="44"/>
      <c r="H535" s="44"/>
      <c r="I535" s="42"/>
      <c r="K535" s="115"/>
      <c r="L535" s="116"/>
      <c r="M535" s="116"/>
      <c r="N535" s="106"/>
      <c r="O535" s="116"/>
      <c r="P535" s="117"/>
      <c r="Q535" s="118"/>
      <c r="R535" s="119"/>
    </row>
    <row r="536" spans="1:18" s="12" customFormat="1" ht="13.5" customHeight="1">
      <c r="A536" s="107" t="s">
        <v>979</v>
      </c>
      <c r="B536" s="71"/>
      <c r="C536" s="71"/>
      <c r="D536" s="43" t="s">
        <v>875</v>
      </c>
      <c r="E536" s="114" t="s">
        <v>21</v>
      </c>
      <c r="F536" s="72">
        <v>29</v>
      </c>
      <c r="G536" s="67"/>
      <c r="H536" s="44">
        <f>F536*G536</f>
        <v>0</v>
      </c>
      <c r="I536" s="42"/>
      <c r="K536" s="115"/>
      <c r="L536" s="116"/>
      <c r="M536" s="116"/>
      <c r="N536" s="106"/>
      <c r="O536" s="116"/>
      <c r="P536" s="117"/>
      <c r="Q536" s="118"/>
      <c r="R536" s="119"/>
    </row>
    <row r="537" spans="1:18" s="12" customFormat="1" ht="13.5" customHeight="1">
      <c r="A537" s="107" t="s">
        <v>980</v>
      </c>
      <c r="B537" s="71"/>
      <c r="C537" s="71"/>
      <c r="D537" s="43" t="s">
        <v>876</v>
      </c>
      <c r="E537" s="114" t="s">
        <v>21</v>
      </c>
      <c r="F537" s="72">
        <v>27.8</v>
      </c>
      <c r="G537" s="67"/>
      <c r="H537" s="44">
        <f>F537*G537</f>
        <v>0</v>
      </c>
      <c r="I537" s="42"/>
      <c r="K537" s="115"/>
      <c r="L537" s="116"/>
      <c r="M537" s="116"/>
      <c r="N537" s="106"/>
      <c r="O537" s="116"/>
      <c r="P537" s="117"/>
      <c r="Q537" s="118"/>
      <c r="R537" s="119"/>
    </row>
    <row r="538" spans="1:18" s="12" customFormat="1" ht="27" customHeight="1">
      <c r="A538" s="107" t="s">
        <v>981</v>
      </c>
      <c r="B538" s="71"/>
      <c r="C538" s="71"/>
      <c r="D538" s="43" t="s">
        <v>877</v>
      </c>
      <c r="E538" s="114" t="s">
        <v>21</v>
      </c>
      <c r="F538" s="72">
        <v>27.8</v>
      </c>
      <c r="G538" s="67"/>
      <c r="H538" s="44">
        <f>F538*G538</f>
        <v>0</v>
      </c>
      <c r="I538" s="42"/>
      <c r="K538" s="115"/>
      <c r="L538" s="116"/>
      <c r="M538" s="116"/>
      <c r="N538" s="106"/>
      <c r="O538" s="116"/>
      <c r="P538" s="117"/>
      <c r="Q538" s="118"/>
      <c r="R538" s="119"/>
    </row>
    <row r="539" spans="1:18" s="12" customFormat="1" ht="13.5" customHeight="1">
      <c r="A539" s="107" t="s">
        <v>982</v>
      </c>
      <c r="B539" s="71"/>
      <c r="C539" s="71"/>
      <c r="D539" s="43" t="s">
        <v>878</v>
      </c>
      <c r="E539" s="114" t="s">
        <v>21</v>
      </c>
      <c r="F539" s="72">
        <v>29</v>
      </c>
      <c r="G539" s="67"/>
      <c r="H539" s="44">
        <f>F539*G539</f>
        <v>0</v>
      </c>
      <c r="I539" s="42"/>
      <c r="K539" s="115"/>
      <c r="L539" s="116"/>
      <c r="M539" s="116"/>
      <c r="N539" s="106"/>
      <c r="O539" s="116"/>
      <c r="P539" s="117"/>
      <c r="Q539" s="118"/>
      <c r="R539" s="119"/>
    </row>
    <row r="540" spans="1:18" s="12" customFormat="1" ht="13.5" customHeight="1">
      <c r="A540" s="107" t="s">
        <v>983</v>
      </c>
      <c r="B540" s="71"/>
      <c r="C540" s="71"/>
      <c r="D540" s="43" t="s">
        <v>879</v>
      </c>
      <c r="E540" s="114" t="s">
        <v>21</v>
      </c>
      <c r="F540" s="72">
        <v>27.8</v>
      </c>
      <c r="G540" s="67"/>
      <c r="H540" s="44">
        <f>F540*G540</f>
        <v>0</v>
      </c>
      <c r="I540" s="42"/>
      <c r="K540" s="115"/>
      <c r="L540" s="116"/>
      <c r="M540" s="116"/>
      <c r="N540" s="106"/>
      <c r="O540" s="116"/>
      <c r="P540" s="117"/>
      <c r="Q540" s="118"/>
      <c r="R540" s="119"/>
    </row>
    <row r="541" spans="1:18" s="2" customFormat="1" ht="42" customHeight="1">
      <c r="A541" s="164"/>
      <c r="B541" s="132"/>
      <c r="C541" s="132"/>
      <c r="D541" s="43" t="s">
        <v>178</v>
      </c>
      <c r="E541" s="132"/>
      <c r="F541" s="44"/>
      <c r="G541" s="166"/>
      <c r="H541" s="155"/>
      <c r="I541" s="45"/>
      <c r="J541" s="12"/>
      <c r="K541" s="12"/>
      <c r="L541" s="12"/>
    </row>
    <row r="542" spans="1:18" s="12" customFormat="1" ht="13.5" customHeight="1">
      <c r="A542" s="158">
        <v>128</v>
      </c>
      <c r="B542" s="130">
        <v>765</v>
      </c>
      <c r="C542" s="130" t="s">
        <v>177</v>
      </c>
      <c r="D542" s="130" t="s">
        <v>894</v>
      </c>
      <c r="E542" s="130" t="s">
        <v>21</v>
      </c>
      <c r="F542" s="159">
        <f>F543</f>
        <v>2763.2</v>
      </c>
      <c r="G542" s="167"/>
      <c r="H542" s="155">
        <f>F542*G542</f>
        <v>0</v>
      </c>
      <c r="I542" s="42" t="s">
        <v>109</v>
      </c>
    </row>
    <row r="543" spans="1:18" s="12" customFormat="1" ht="13.5" customHeight="1">
      <c r="A543" s="158"/>
      <c r="B543" s="131"/>
      <c r="C543" s="130"/>
      <c r="D543" s="43" t="s">
        <v>873</v>
      </c>
      <c r="E543" s="130"/>
      <c r="F543" s="44">
        <v>2763.2</v>
      </c>
      <c r="G543" s="155"/>
      <c r="H543" s="155"/>
      <c r="I543" s="42"/>
    </row>
    <row r="544" spans="1:18" s="12" customFormat="1" ht="26.25" customHeight="1">
      <c r="A544" s="107"/>
      <c r="B544" s="71"/>
      <c r="C544" s="71"/>
      <c r="D544" s="43" t="s">
        <v>871</v>
      </c>
      <c r="E544" s="114"/>
      <c r="F544" s="72"/>
      <c r="G544" s="44"/>
      <c r="H544" s="44"/>
      <c r="I544" s="42"/>
      <c r="K544" s="115"/>
      <c r="L544" s="116"/>
      <c r="M544" s="116"/>
      <c r="N544" s="106"/>
      <c r="O544" s="116"/>
      <c r="P544" s="117"/>
      <c r="Q544" s="118"/>
      <c r="R544" s="119"/>
    </row>
    <row r="545" spans="1:18" s="12" customFormat="1" ht="13.5" customHeight="1">
      <c r="A545" s="107"/>
      <c r="B545" s="71"/>
      <c r="C545" s="71"/>
      <c r="D545" s="43" t="s">
        <v>472</v>
      </c>
      <c r="E545" s="135"/>
      <c r="F545" s="44"/>
      <c r="G545" s="44"/>
      <c r="H545" s="44"/>
      <c r="I545" s="42"/>
      <c r="K545" s="115"/>
      <c r="L545" s="116"/>
      <c r="M545" s="116"/>
      <c r="N545" s="106"/>
      <c r="O545" s="116"/>
      <c r="P545" s="117"/>
      <c r="Q545" s="118"/>
      <c r="R545" s="119"/>
    </row>
    <row r="546" spans="1:18" s="2" customFormat="1" ht="42" customHeight="1">
      <c r="A546" s="164"/>
      <c r="B546" s="132"/>
      <c r="C546" s="132"/>
      <c r="D546" s="43" t="s">
        <v>178</v>
      </c>
      <c r="E546" s="132"/>
      <c r="F546" s="44"/>
      <c r="G546" s="166"/>
      <c r="H546" s="155"/>
      <c r="I546" s="45"/>
      <c r="J546" s="12"/>
      <c r="K546" s="12"/>
      <c r="L546" s="12"/>
    </row>
    <row r="547" spans="1:18" s="46" customFormat="1" ht="13.5" customHeight="1">
      <c r="A547" s="158">
        <v>129</v>
      </c>
      <c r="B547" s="131" t="s">
        <v>175</v>
      </c>
      <c r="C547" s="130">
        <v>998765204</v>
      </c>
      <c r="D547" s="130" t="s">
        <v>176</v>
      </c>
      <c r="E547" s="130" t="s">
        <v>42</v>
      </c>
      <c r="F547" s="159">
        <v>6.72</v>
      </c>
      <c r="G547" s="155"/>
      <c r="H547" s="155">
        <f>F547*G547</f>
        <v>0</v>
      </c>
      <c r="I547" s="42" t="s">
        <v>105</v>
      </c>
      <c r="J547" s="12"/>
      <c r="K547" s="12"/>
      <c r="L547" s="12"/>
    </row>
    <row r="548" spans="1:18" s="10" customFormat="1" ht="13.5" customHeight="1">
      <c r="A548" s="158">
        <v>130</v>
      </c>
      <c r="B548" s="130" t="s">
        <v>131</v>
      </c>
      <c r="C548" s="130" t="s">
        <v>95</v>
      </c>
      <c r="D548" s="130" t="s">
        <v>96</v>
      </c>
      <c r="E548" s="130" t="s">
        <v>28</v>
      </c>
      <c r="F548" s="159">
        <f>F549</f>
        <v>40</v>
      </c>
      <c r="G548" s="155"/>
      <c r="H548" s="155">
        <f>F548*G548</f>
        <v>0</v>
      </c>
      <c r="I548" s="42" t="s">
        <v>105</v>
      </c>
      <c r="J548" s="9"/>
      <c r="K548" s="9"/>
      <c r="L548" s="9"/>
    </row>
    <row r="549" spans="1:18" s="2" customFormat="1" ht="13.5" customHeight="1">
      <c r="A549" s="164"/>
      <c r="B549" s="132"/>
      <c r="C549" s="132"/>
      <c r="D549" s="43" t="s">
        <v>97</v>
      </c>
      <c r="E549" s="132"/>
      <c r="F549" s="44">
        <v>40</v>
      </c>
      <c r="G549" s="166"/>
      <c r="H549" s="155"/>
      <c r="I549" s="45"/>
      <c r="J549" s="12"/>
      <c r="K549" s="12"/>
      <c r="L549" s="12"/>
    </row>
    <row r="550" spans="1:18" s="2" customFormat="1" ht="13.5" customHeight="1">
      <c r="A550" s="164"/>
      <c r="B550" s="132"/>
      <c r="C550" s="132"/>
      <c r="D550" s="43" t="s">
        <v>43</v>
      </c>
      <c r="E550" s="132"/>
      <c r="F550" s="44"/>
      <c r="G550" s="166"/>
      <c r="H550" s="155"/>
      <c r="I550" s="45"/>
      <c r="J550" s="12"/>
      <c r="K550" s="12"/>
      <c r="L550" s="12"/>
    </row>
    <row r="551" spans="1:18" s="46" customFormat="1" ht="13.5" customHeight="1">
      <c r="A551" s="5"/>
      <c r="B551" s="6"/>
      <c r="C551" s="6">
        <v>767</v>
      </c>
      <c r="D551" s="6" t="s">
        <v>111</v>
      </c>
      <c r="E551" s="6"/>
      <c r="F551" s="7"/>
      <c r="G551" s="8"/>
      <c r="H551" s="8">
        <f>SUM(H552:H580)</f>
        <v>0</v>
      </c>
      <c r="I551" s="68"/>
      <c r="J551" s="12"/>
      <c r="K551" s="65"/>
      <c r="L551" s="12"/>
    </row>
    <row r="552" spans="1:18" s="10" customFormat="1" ht="13.5" customHeight="1">
      <c r="A552" s="158">
        <v>131</v>
      </c>
      <c r="B552" s="130">
        <v>767</v>
      </c>
      <c r="C552" s="130" t="s">
        <v>115</v>
      </c>
      <c r="D552" s="130" t="s">
        <v>120</v>
      </c>
      <c r="E552" s="130" t="s">
        <v>46</v>
      </c>
      <c r="F552" s="159">
        <f>F554</f>
        <v>4</v>
      </c>
      <c r="G552" s="155"/>
      <c r="H552" s="155">
        <f>F552*G552</f>
        <v>0</v>
      </c>
      <c r="I552" s="42" t="s">
        <v>109</v>
      </c>
      <c r="J552" s="9"/>
      <c r="K552" s="9"/>
      <c r="L552" s="9"/>
    </row>
    <row r="553" spans="1:18" s="2" customFormat="1" ht="13.5" customHeight="1">
      <c r="A553" s="164"/>
      <c r="B553" s="132"/>
      <c r="C553" s="132"/>
      <c r="D553" s="179" t="s">
        <v>126</v>
      </c>
      <c r="E553" s="132"/>
      <c r="F553" s="44"/>
      <c r="G553" s="166"/>
      <c r="H553" s="155"/>
      <c r="I553" s="45"/>
      <c r="J553" s="12"/>
      <c r="K553" s="12"/>
      <c r="L553" s="12"/>
    </row>
    <row r="554" spans="1:18" s="2" customFormat="1" ht="13.5" customHeight="1">
      <c r="A554" s="164"/>
      <c r="B554" s="132"/>
      <c r="C554" s="132"/>
      <c r="D554" s="43" t="s">
        <v>110</v>
      </c>
      <c r="E554" s="132"/>
      <c r="F554" s="44">
        <v>4</v>
      </c>
      <c r="G554" s="166"/>
      <c r="H554" s="155"/>
      <c r="I554" s="45"/>
      <c r="J554" s="12"/>
      <c r="K554" s="12"/>
      <c r="L554" s="12"/>
    </row>
    <row r="555" spans="1:18" s="10" customFormat="1" ht="13.5" customHeight="1">
      <c r="A555" s="158">
        <v>132</v>
      </c>
      <c r="B555" s="130">
        <v>767</v>
      </c>
      <c r="C555" s="130" t="s">
        <v>118</v>
      </c>
      <c r="D555" s="130" t="s">
        <v>117</v>
      </c>
      <c r="E555" s="130" t="s">
        <v>46</v>
      </c>
      <c r="F555" s="159">
        <f>F557</f>
        <v>2</v>
      </c>
      <c r="G555" s="155"/>
      <c r="H555" s="155">
        <f>F555*G555</f>
        <v>0</v>
      </c>
      <c r="I555" s="42" t="s">
        <v>109</v>
      </c>
      <c r="J555" s="9"/>
      <c r="K555" s="9"/>
      <c r="L555" s="9"/>
    </row>
    <row r="556" spans="1:18" s="2" customFormat="1" ht="13.5" customHeight="1">
      <c r="A556" s="164"/>
      <c r="B556" s="132"/>
      <c r="C556" s="132"/>
      <c r="D556" s="179" t="s">
        <v>126</v>
      </c>
      <c r="E556" s="132"/>
      <c r="F556" s="44"/>
      <c r="G556" s="166"/>
      <c r="H556" s="155"/>
      <c r="I556" s="45"/>
      <c r="J556" s="12"/>
      <c r="K556" s="12"/>
      <c r="L556" s="12"/>
    </row>
    <row r="557" spans="1:18" s="2" customFormat="1" ht="13.5" customHeight="1">
      <c r="A557" s="164"/>
      <c r="B557" s="132"/>
      <c r="C557" s="132"/>
      <c r="D557" s="43" t="s">
        <v>69</v>
      </c>
      <c r="E557" s="132"/>
      <c r="F557" s="44">
        <v>2</v>
      </c>
      <c r="G557" s="166"/>
      <c r="H557" s="155"/>
      <c r="I557" s="45"/>
      <c r="J557" s="12"/>
      <c r="K557" s="12"/>
      <c r="L557" s="12"/>
    </row>
    <row r="558" spans="1:18" s="10" customFormat="1" ht="13.5" customHeight="1">
      <c r="A558" s="158">
        <v>133</v>
      </c>
      <c r="B558" s="130">
        <v>767</v>
      </c>
      <c r="C558" s="130" t="s">
        <v>124</v>
      </c>
      <c r="D558" s="130" t="s">
        <v>119</v>
      </c>
      <c r="E558" s="130" t="s">
        <v>46</v>
      </c>
      <c r="F558" s="159">
        <f>F560</f>
        <v>4</v>
      </c>
      <c r="G558" s="155"/>
      <c r="H558" s="155">
        <f>F558*G558</f>
        <v>0</v>
      </c>
      <c r="I558" s="42" t="s">
        <v>109</v>
      </c>
      <c r="J558" s="9"/>
      <c r="K558" s="9"/>
      <c r="L558" s="9"/>
    </row>
    <row r="559" spans="1:18" s="2" customFormat="1" ht="13.5" customHeight="1">
      <c r="A559" s="164"/>
      <c r="B559" s="132"/>
      <c r="C559" s="132"/>
      <c r="D559" s="179" t="s">
        <v>126</v>
      </c>
      <c r="E559" s="132"/>
      <c r="F559" s="44"/>
      <c r="G559" s="166"/>
      <c r="H559" s="155"/>
      <c r="I559" s="45"/>
      <c r="J559" s="12"/>
      <c r="K559" s="12"/>
      <c r="L559" s="12"/>
    </row>
    <row r="560" spans="1:18" s="2" customFormat="1" ht="13.5" customHeight="1">
      <c r="A560" s="164"/>
      <c r="B560" s="132"/>
      <c r="C560" s="132"/>
      <c r="D560" s="43" t="s">
        <v>69</v>
      </c>
      <c r="E560" s="132"/>
      <c r="F560" s="44">
        <v>4</v>
      </c>
      <c r="G560" s="166"/>
      <c r="H560" s="155"/>
      <c r="I560" s="45"/>
      <c r="J560" s="109"/>
      <c r="K560" s="12"/>
      <c r="L560" s="12"/>
    </row>
    <row r="561" spans="1:12" s="10" customFormat="1" ht="13.5" customHeight="1">
      <c r="A561" s="158">
        <v>134</v>
      </c>
      <c r="B561" s="130">
        <v>767</v>
      </c>
      <c r="C561" s="130" t="s">
        <v>466</v>
      </c>
      <c r="D561" s="130" t="s">
        <v>121</v>
      </c>
      <c r="E561" s="130" t="s">
        <v>46</v>
      </c>
      <c r="F561" s="159">
        <f>F563</f>
        <v>2</v>
      </c>
      <c r="G561" s="155"/>
      <c r="H561" s="155">
        <f>F561*G561</f>
        <v>0</v>
      </c>
      <c r="I561" s="42" t="s">
        <v>109</v>
      </c>
      <c r="J561" s="9"/>
      <c r="K561" s="9"/>
      <c r="L561" s="9"/>
    </row>
    <row r="562" spans="1:12" s="2" customFormat="1" ht="13.5" customHeight="1">
      <c r="A562" s="164"/>
      <c r="B562" s="132"/>
      <c r="C562" s="132"/>
      <c r="D562" s="179" t="s">
        <v>126</v>
      </c>
      <c r="E562" s="132"/>
      <c r="F562" s="44"/>
      <c r="G562" s="166"/>
      <c r="H562" s="155"/>
      <c r="I562" s="45"/>
      <c r="J562" s="12"/>
      <c r="K562" s="12"/>
      <c r="L562" s="12"/>
    </row>
    <row r="563" spans="1:12" s="2" customFormat="1" ht="13.5" customHeight="1">
      <c r="A563" s="164"/>
      <c r="B563" s="132"/>
      <c r="C563" s="132"/>
      <c r="D563" s="43" t="s">
        <v>110</v>
      </c>
      <c r="E563" s="132"/>
      <c r="F563" s="44">
        <v>2</v>
      </c>
      <c r="G563" s="166"/>
      <c r="H563" s="155"/>
      <c r="I563" s="45"/>
      <c r="J563" s="12"/>
      <c r="K563" s="12"/>
      <c r="L563" s="12"/>
    </row>
    <row r="564" spans="1:12" s="10" customFormat="1" ht="13.5" customHeight="1">
      <c r="A564" s="158">
        <v>135</v>
      </c>
      <c r="B564" s="130">
        <v>767</v>
      </c>
      <c r="C564" s="130" t="s">
        <v>467</v>
      </c>
      <c r="D564" s="130" t="s">
        <v>122</v>
      </c>
      <c r="E564" s="130" t="s">
        <v>46</v>
      </c>
      <c r="F564" s="159">
        <f>F566</f>
        <v>4</v>
      </c>
      <c r="G564" s="155"/>
      <c r="H564" s="155">
        <f>F564*G564</f>
        <v>0</v>
      </c>
      <c r="I564" s="42" t="s">
        <v>109</v>
      </c>
      <c r="J564" s="9"/>
      <c r="K564" s="9"/>
      <c r="L564" s="9"/>
    </row>
    <row r="565" spans="1:12" s="2" customFormat="1" ht="13.5" customHeight="1">
      <c r="A565" s="164"/>
      <c r="B565" s="132"/>
      <c r="C565" s="132"/>
      <c r="D565" s="179" t="s">
        <v>126</v>
      </c>
      <c r="E565" s="132"/>
      <c r="F565" s="44"/>
      <c r="G565" s="166"/>
      <c r="H565" s="155"/>
      <c r="I565" s="45"/>
      <c r="J565" s="12"/>
      <c r="K565" s="12"/>
      <c r="L565" s="12"/>
    </row>
    <row r="566" spans="1:12" s="2" customFormat="1" ht="13.5" customHeight="1">
      <c r="A566" s="164"/>
      <c r="B566" s="132"/>
      <c r="C566" s="132"/>
      <c r="D566" s="43" t="s">
        <v>110</v>
      </c>
      <c r="E566" s="132"/>
      <c r="F566" s="44">
        <v>4</v>
      </c>
      <c r="G566" s="166"/>
      <c r="H566" s="155"/>
      <c r="I566" s="45"/>
      <c r="J566" s="12"/>
      <c r="K566" s="12"/>
      <c r="L566" s="12"/>
    </row>
    <row r="567" spans="1:12" s="10" customFormat="1" ht="13.5" customHeight="1">
      <c r="A567" s="158">
        <v>136</v>
      </c>
      <c r="B567" s="130">
        <v>767</v>
      </c>
      <c r="C567" s="130" t="s">
        <v>468</v>
      </c>
      <c r="D567" s="130" t="s">
        <v>123</v>
      </c>
      <c r="E567" s="130" t="s">
        <v>46</v>
      </c>
      <c r="F567" s="159">
        <f>F569</f>
        <v>47</v>
      </c>
      <c r="G567" s="155"/>
      <c r="H567" s="155">
        <f>F567*G567</f>
        <v>0</v>
      </c>
      <c r="I567" s="42" t="s">
        <v>109</v>
      </c>
      <c r="J567" s="9"/>
      <c r="K567" s="9"/>
      <c r="L567" s="9"/>
    </row>
    <row r="568" spans="1:12" s="2" customFormat="1" ht="13.5" customHeight="1">
      <c r="A568" s="164"/>
      <c r="B568" s="132"/>
      <c r="C568" s="132"/>
      <c r="D568" s="179" t="s">
        <v>126</v>
      </c>
      <c r="E568" s="132"/>
      <c r="F568" s="44"/>
      <c r="G568" s="166"/>
      <c r="H568" s="155"/>
      <c r="I568" s="45"/>
      <c r="J568" s="12"/>
      <c r="K568" s="12"/>
      <c r="L568" s="12"/>
    </row>
    <row r="569" spans="1:12" s="2" customFormat="1" ht="13.5" customHeight="1">
      <c r="A569" s="164"/>
      <c r="B569" s="132"/>
      <c r="C569" s="132"/>
      <c r="D569" s="43" t="s">
        <v>110</v>
      </c>
      <c r="E569" s="132"/>
      <c r="F569" s="44">
        <v>47</v>
      </c>
      <c r="G569" s="166"/>
      <c r="H569" s="155"/>
      <c r="I569" s="45"/>
      <c r="J569" s="12"/>
      <c r="K569" s="12"/>
      <c r="L569" s="12"/>
    </row>
    <row r="570" spans="1:12" s="10" customFormat="1" ht="13.5" customHeight="1">
      <c r="A570" s="158">
        <v>137</v>
      </c>
      <c r="B570" s="130">
        <v>767</v>
      </c>
      <c r="C570" s="130" t="s">
        <v>125</v>
      </c>
      <c r="D570" s="130" t="s">
        <v>116</v>
      </c>
      <c r="E570" s="130" t="s">
        <v>46</v>
      </c>
      <c r="F570" s="159">
        <f>F572</f>
        <v>72</v>
      </c>
      <c r="G570" s="155"/>
      <c r="H570" s="155">
        <f>F570*G570</f>
        <v>0</v>
      </c>
      <c r="I570" s="42" t="s">
        <v>109</v>
      </c>
      <c r="J570" s="9"/>
      <c r="K570" s="9"/>
      <c r="L570" s="9"/>
    </row>
    <row r="571" spans="1:12" s="2" customFormat="1" ht="13.5" customHeight="1">
      <c r="A571" s="164"/>
      <c r="B571" s="132"/>
      <c r="C571" s="132"/>
      <c r="D571" s="179" t="s">
        <v>126</v>
      </c>
      <c r="E571" s="132"/>
      <c r="F571" s="44"/>
      <c r="G571" s="166"/>
      <c r="H571" s="155"/>
      <c r="I571" s="45"/>
      <c r="J571" s="12"/>
      <c r="K571" s="12"/>
      <c r="L571" s="12"/>
    </row>
    <row r="572" spans="1:12" s="2" customFormat="1" ht="13.5" customHeight="1">
      <c r="A572" s="164"/>
      <c r="B572" s="132"/>
      <c r="C572" s="132"/>
      <c r="D572" s="43" t="s">
        <v>69</v>
      </c>
      <c r="E572" s="132"/>
      <c r="F572" s="44">
        <v>72</v>
      </c>
      <c r="G572" s="166"/>
      <c r="H572" s="155"/>
      <c r="I572" s="45"/>
      <c r="J572" s="12"/>
      <c r="K572" s="12"/>
      <c r="L572" s="12"/>
    </row>
    <row r="573" spans="1:12" s="2" customFormat="1" ht="13.5" customHeight="1">
      <c r="A573" s="158">
        <v>138</v>
      </c>
      <c r="B573" s="131" t="s">
        <v>461</v>
      </c>
      <c r="C573" s="130" t="s">
        <v>462</v>
      </c>
      <c r="D573" s="130" t="s">
        <v>463</v>
      </c>
      <c r="E573" s="130" t="s">
        <v>21</v>
      </c>
      <c r="F573" s="159">
        <f>F576</f>
        <v>18.100000000000001</v>
      </c>
      <c r="G573" s="155"/>
      <c r="H573" s="155">
        <f>F573*G573</f>
        <v>0</v>
      </c>
      <c r="I573" s="42" t="s">
        <v>109</v>
      </c>
      <c r="J573" s="12"/>
      <c r="K573" s="12"/>
      <c r="L573" s="12"/>
    </row>
    <row r="574" spans="1:12" s="2" customFormat="1" ht="53.25" customHeight="1">
      <c r="A574" s="164"/>
      <c r="B574" s="132"/>
      <c r="C574" s="132"/>
      <c r="D574" s="43" t="s">
        <v>464</v>
      </c>
      <c r="E574" s="132"/>
      <c r="F574" s="44"/>
      <c r="G574" s="166"/>
      <c r="H574" s="155"/>
      <c r="I574" s="45"/>
      <c r="J574" s="12"/>
      <c r="K574" s="12"/>
      <c r="L574" s="12"/>
    </row>
    <row r="575" spans="1:12" s="2" customFormat="1" ht="40.5" customHeight="1">
      <c r="A575" s="164"/>
      <c r="B575" s="132"/>
      <c r="C575" s="132"/>
      <c r="D575" s="43" t="s">
        <v>465</v>
      </c>
      <c r="E575" s="132"/>
      <c r="F575" s="44"/>
      <c r="G575" s="166"/>
      <c r="H575" s="155"/>
      <c r="I575" s="45"/>
      <c r="J575" s="12"/>
      <c r="K575" s="12"/>
      <c r="L575" s="12"/>
    </row>
    <row r="576" spans="1:12" s="70" customFormat="1" ht="13.5" customHeight="1">
      <c r="A576" s="158"/>
      <c r="B576" s="130"/>
      <c r="C576" s="130"/>
      <c r="D576" s="43" t="s">
        <v>539</v>
      </c>
      <c r="E576" s="130"/>
      <c r="F576" s="44">
        <f>10.1+8</f>
        <v>18.100000000000001</v>
      </c>
      <c r="G576" s="155"/>
      <c r="H576" s="155"/>
      <c r="I576" s="42"/>
    </row>
    <row r="577" spans="1:12" ht="13.5" customHeight="1">
      <c r="A577" s="158">
        <v>139</v>
      </c>
      <c r="B577" s="130">
        <v>767</v>
      </c>
      <c r="C577" s="130">
        <v>998767204</v>
      </c>
      <c r="D577" s="130" t="s">
        <v>441</v>
      </c>
      <c r="E577" s="130" t="s">
        <v>42</v>
      </c>
      <c r="F577" s="163">
        <v>1.82</v>
      </c>
      <c r="G577" s="155"/>
      <c r="H577" s="155">
        <f>F577*G577</f>
        <v>0</v>
      </c>
      <c r="I577" s="42" t="s">
        <v>105</v>
      </c>
    </row>
    <row r="578" spans="1:12" s="10" customFormat="1" ht="13.5" customHeight="1">
      <c r="A578" s="158">
        <v>140</v>
      </c>
      <c r="B578" s="130" t="s">
        <v>131</v>
      </c>
      <c r="C578" s="130" t="s">
        <v>112</v>
      </c>
      <c r="D578" s="130" t="s">
        <v>113</v>
      </c>
      <c r="E578" s="130" t="s">
        <v>28</v>
      </c>
      <c r="F578" s="159">
        <f>F579</f>
        <v>50</v>
      </c>
      <c r="G578" s="155"/>
      <c r="H578" s="155">
        <f>F578*G578</f>
        <v>0</v>
      </c>
      <c r="I578" s="42" t="s">
        <v>105</v>
      </c>
      <c r="J578" s="9"/>
      <c r="K578" s="9"/>
      <c r="L578" s="9"/>
    </row>
    <row r="579" spans="1:12" s="2" customFormat="1" ht="13.5" customHeight="1">
      <c r="A579" s="164"/>
      <c r="B579" s="132"/>
      <c r="C579" s="132"/>
      <c r="D579" s="43" t="s">
        <v>114</v>
      </c>
      <c r="E579" s="132"/>
      <c r="F579" s="44">
        <v>50</v>
      </c>
      <c r="G579" s="166"/>
      <c r="H579" s="155"/>
      <c r="I579" s="45"/>
      <c r="J579" s="12"/>
      <c r="K579" s="12"/>
      <c r="L579" s="12"/>
    </row>
    <row r="580" spans="1:12" s="2" customFormat="1" ht="13.5" customHeight="1">
      <c r="A580" s="164"/>
      <c r="B580" s="132"/>
      <c r="C580" s="132"/>
      <c r="D580" s="43" t="s">
        <v>43</v>
      </c>
      <c r="E580" s="132"/>
      <c r="F580" s="44"/>
      <c r="G580" s="166"/>
      <c r="H580" s="155"/>
      <c r="I580" s="45"/>
      <c r="J580" s="12"/>
      <c r="K580" s="12"/>
      <c r="L580" s="12"/>
    </row>
    <row r="581" spans="1:12" s="46" customFormat="1" ht="13.5" customHeight="1">
      <c r="A581" s="5"/>
      <c r="B581" s="6"/>
      <c r="C581" s="6">
        <v>771</v>
      </c>
      <c r="D581" s="6" t="s">
        <v>68</v>
      </c>
      <c r="E581" s="6"/>
      <c r="F581" s="7"/>
      <c r="G581" s="8"/>
      <c r="H581" s="8">
        <f>H582+H589+H601+H614+H628+SUM(H632:H656)</f>
        <v>0</v>
      </c>
      <c r="I581" s="68"/>
      <c r="J581" s="12"/>
      <c r="K581" s="65"/>
      <c r="L581" s="12"/>
    </row>
    <row r="582" spans="1:12" s="2" customFormat="1" ht="13.5" customHeight="1">
      <c r="A582" s="158">
        <v>141</v>
      </c>
      <c r="B582" s="130">
        <v>771</v>
      </c>
      <c r="C582" s="130" t="s">
        <v>321</v>
      </c>
      <c r="D582" s="130" t="s">
        <v>432</v>
      </c>
      <c r="E582" s="130" t="s">
        <v>21</v>
      </c>
      <c r="F582" s="159">
        <f>F588</f>
        <v>624.48</v>
      </c>
      <c r="G582" s="167">
        <f>SUM(H584:H585)/F582</f>
        <v>0</v>
      </c>
      <c r="H582" s="155">
        <f>G582*F582</f>
        <v>0</v>
      </c>
      <c r="I582" s="42" t="s">
        <v>109</v>
      </c>
    </row>
    <row r="583" spans="1:12" s="133" customFormat="1" ht="13.5" customHeight="1">
      <c r="A583" s="161"/>
      <c r="B583" s="169"/>
      <c r="C583" s="43"/>
      <c r="D583" s="43" t="s">
        <v>310</v>
      </c>
      <c r="E583" s="43"/>
      <c r="F583" s="44"/>
      <c r="G583" s="160"/>
      <c r="H583" s="160"/>
      <c r="I583" s="170"/>
    </row>
    <row r="584" spans="1:12" s="9" customFormat="1" ht="13.5" customHeight="1">
      <c r="A584" s="134" t="s">
        <v>915</v>
      </c>
      <c r="B584" s="131"/>
      <c r="C584" s="130"/>
      <c r="D584" s="43" t="s">
        <v>587</v>
      </c>
      <c r="E584" s="135" t="s">
        <v>21</v>
      </c>
      <c r="F584" s="44">
        <v>687</v>
      </c>
      <c r="G584" s="67"/>
      <c r="H584" s="44">
        <f>F584*G584</f>
        <v>0</v>
      </c>
      <c r="I584" s="42"/>
    </row>
    <row r="585" spans="1:12" s="2" customFormat="1" ht="13.5" customHeight="1">
      <c r="A585" s="134" t="s">
        <v>916</v>
      </c>
      <c r="B585" s="132"/>
      <c r="C585" s="132"/>
      <c r="D585" s="43" t="s">
        <v>588</v>
      </c>
      <c r="E585" s="135" t="s">
        <v>21</v>
      </c>
      <c r="F585" s="44">
        <v>687</v>
      </c>
      <c r="G585" s="67"/>
      <c r="H585" s="44">
        <f>F585*G585</f>
        <v>0</v>
      </c>
      <c r="I585" s="45"/>
    </row>
    <row r="586" spans="1:12" s="136" customFormat="1" ht="37.5" customHeight="1">
      <c r="A586" s="161"/>
      <c r="B586" s="169"/>
      <c r="C586" s="43"/>
      <c r="D586" s="43" t="s">
        <v>322</v>
      </c>
      <c r="E586" s="43"/>
      <c r="F586" s="44"/>
      <c r="G586" s="160"/>
      <c r="H586" s="160"/>
      <c r="I586" s="170"/>
    </row>
    <row r="587" spans="1:12" s="10" customFormat="1" ht="14.25" customHeight="1">
      <c r="A587" s="164"/>
      <c r="B587" s="168"/>
      <c r="C587" s="132"/>
      <c r="D587" s="43" t="s">
        <v>323</v>
      </c>
      <c r="E587" s="132"/>
      <c r="F587" s="165"/>
      <c r="G587" s="166"/>
      <c r="H587" s="155"/>
      <c r="I587" s="11"/>
      <c r="J587" s="9"/>
      <c r="K587" s="9"/>
      <c r="L587" s="9"/>
    </row>
    <row r="588" spans="1:12" s="9" customFormat="1" ht="13.5" customHeight="1">
      <c r="A588" s="158"/>
      <c r="B588" s="131"/>
      <c r="C588" s="130"/>
      <c r="D588" s="43" t="s">
        <v>586</v>
      </c>
      <c r="E588" s="130"/>
      <c r="F588" s="44">
        <f>633-8.52</f>
        <v>624.48</v>
      </c>
      <c r="G588" s="155"/>
      <c r="H588" s="155"/>
      <c r="I588" s="42"/>
    </row>
    <row r="589" spans="1:12" s="2" customFormat="1" ht="26.25" customHeight="1">
      <c r="A589" s="158">
        <v>142</v>
      </c>
      <c r="B589" s="130">
        <v>771</v>
      </c>
      <c r="C589" s="130" t="s">
        <v>439</v>
      </c>
      <c r="D589" s="130" t="s">
        <v>504</v>
      </c>
      <c r="E589" s="130" t="s">
        <v>21</v>
      </c>
      <c r="F589" s="159">
        <f>F599+F600</f>
        <v>8.52</v>
      </c>
      <c r="G589" s="167">
        <f>SUM(H591:H596)/F589</f>
        <v>0</v>
      </c>
      <c r="H589" s="155">
        <f>G589*F589</f>
        <v>0</v>
      </c>
      <c r="I589" s="42" t="s">
        <v>109</v>
      </c>
    </row>
    <row r="590" spans="1:12" s="133" customFormat="1" ht="13.5" customHeight="1">
      <c r="A590" s="161"/>
      <c r="B590" s="169"/>
      <c r="C590" s="43"/>
      <c r="D590" s="43" t="s">
        <v>310</v>
      </c>
      <c r="E590" s="43"/>
      <c r="F590" s="44"/>
      <c r="G590" s="160"/>
      <c r="H590" s="160"/>
      <c r="I590" s="170"/>
    </row>
    <row r="591" spans="1:12" s="9" customFormat="1" ht="13.5" customHeight="1">
      <c r="A591" s="134" t="s">
        <v>917</v>
      </c>
      <c r="B591" s="131"/>
      <c r="C591" s="130"/>
      <c r="D591" s="43" t="s">
        <v>590</v>
      </c>
      <c r="E591" s="135" t="s">
        <v>21</v>
      </c>
      <c r="F591" s="44">
        <v>9.4</v>
      </c>
      <c r="G591" s="67"/>
      <c r="H591" s="44">
        <f t="shared" ref="H591:H596" si="2">F591*G591</f>
        <v>0</v>
      </c>
      <c r="I591" s="42"/>
    </row>
    <row r="592" spans="1:12" s="2" customFormat="1" ht="13.5" customHeight="1">
      <c r="A592" s="134" t="s">
        <v>918</v>
      </c>
      <c r="B592" s="132"/>
      <c r="C592" s="132"/>
      <c r="D592" s="43" t="s">
        <v>589</v>
      </c>
      <c r="E592" s="135" t="s">
        <v>21</v>
      </c>
      <c r="F592" s="44">
        <v>9.4</v>
      </c>
      <c r="G592" s="67"/>
      <c r="H592" s="44">
        <f t="shared" si="2"/>
        <v>0</v>
      </c>
      <c r="I592" s="45"/>
    </row>
    <row r="593" spans="1:12" s="2" customFormat="1" ht="13.5" customHeight="1">
      <c r="A593" s="134" t="s">
        <v>919</v>
      </c>
      <c r="B593" s="132"/>
      <c r="C593" s="132"/>
      <c r="D593" s="43" t="s">
        <v>591</v>
      </c>
      <c r="E593" s="135" t="s">
        <v>27</v>
      </c>
      <c r="F593" s="44">
        <v>1.4</v>
      </c>
      <c r="G593" s="67"/>
      <c r="H593" s="44">
        <f t="shared" si="2"/>
        <v>0</v>
      </c>
      <c r="I593" s="45"/>
    </row>
    <row r="594" spans="1:12" s="2" customFormat="1" ht="13.5" customHeight="1">
      <c r="A594" s="134" t="s">
        <v>920</v>
      </c>
      <c r="B594" s="132"/>
      <c r="C594" s="132"/>
      <c r="D594" s="43" t="s">
        <v>592</v>
      </c>
      <c r="E594" s="135" t="s">
        <v>21</v>
      </c>
      <c r="F594" s="44">
        <v>9.8000000000000007</v>
      </c>
      <c r="G594" s="67"/>
      <c r="H594" s="44">
        <f t="shared" si="2"/>
        <v>0</v>
      </c>
      <c r="I594" s="45"/>
    </row>
    <row r="595" spans="1:12" s="2" customFormat="1" ht="13.5" customHeight="1">
      <c r="A595" s="134" t="s">
        <v>921</v>
      </c>
      <c r="B595" s="132"/>
      <c r="C595" s="132"/>
      <c r="D595" s="43" t="s">
        <v>507</v>
      </c>
      <c r="E595" s="135" t="s">
        <v>21</v>
      </c>
      <c r="F595" s="44">
        <v>9.4</v>
      </c>
      <c r="G595" s="67"/>
      <c r="H595" s="44">
        <f t="shared" si="2"/>
        <v>0</v>
      </c>
      <c r="I595" s="45"/>
    </row>
    <row r="596" spans="1:12" s="2" customFormat="1" ht="13.5" customHeight="1">
      <c r="A596" s="134" t="s">
        <v>984</v>
      </c>
      <c r="B596" s="132"/>
      <c r="C596" s="132"/>
      <c r="D596" s="43" t="s">
        <v>593</v>
      </c>
      <c r="E596" s="135" t="s">
        <v>27</v>
      </c>
      <c r="F596" s="44">
        <v>3.6</v>
      </c>
      <c r="G596" s="67"/>
      <c r="H596" s="44">
        <f t="shared" si="2"/>
        <v>0</v>
      </c>
      <c r="I596" s="45"/>
    </row>
    <row r="597" spans="1:12" s="136" customFormat="1" ht="37.5" customHeight="1">
      <c r="A597" s="161"/>
      <c r="B597" s="169"/>
      <c r="C597" s="43"/>
      <c r="D597" s="43" t="s">
        <v>322</v>
      </c>
      <c r="E597" s="43"/>
      <c r="F597" s="44"/>
      <c r="G597" s="160"/>
      <c r="H597" s="160"/>
      <c r="I597" s="170"/>
    </row>
    <row r="598" spans="1:12" s="10" customFormat="1" ht="14.25" customHeight="1">
      <c r="A598" s="164"/>
      <c r="B598" s="168"/>
      <c r="C598" s="132"/>
      <c r="D598" s="43" t="s">
        <v>323</v>
      </c>
      <c r="E598" s="132"/>
      <c r="F598" s="165"/>
      <c r="G598" s="166"/>
      <c r="H598" s="155"/>
      <c r="I598" s="11"/>
      <c r="J598" s="9"/>
      <c r="K598" s="147"/>
      <c r="L598" s="9"/>
    </row>
    <row r="599" spans="1:12" s="9" customFormat="1" ht="13.5" customHeight="1">
      <c r="A599" s="158"/>
      <c r="B599" s="131"/>
      <c r="C599" s="130"/>
      <c r="D599" s="43" t="s">
        <v>505</v>
      </c>
      <c r="E599" s="130"/>
      <c r="F599" s="44">
        <f>(1.85*3.05+4.25*3.7)-(1.85*2.45+3.65*3.1)</f>
        <v>5.52</v>
      </c>
      <c r="G599" s="155"/>
      <c r="H599" s="155"/>
      <c r="I599" s="42"/>
      <c r="K599" s="147"/>
    </row>
    <row r="600" spans="1:12" s="9" customFormat="1" ht="13.5" customHeight="1">
      <c r="A600" s="158"/>
      <c r="B600" s="131"/>
      <c r="C600" s="130"/>
      <c r="D600" s="43" t="s">
        <v>506</v>
      </c>
      <c r="E600" s="130"/>
      <c r="F600" s="44">
        <v>3</v>
      </c>
      <c r="G600" s="155"/>
      <c r="H600" s="155"/>
      <c r="I600" s="42"/>
    </row>
    <row r="601" spans="1:12" s="2" customFormat="1" ht="13.5" customHeight="1">
      <c r="A601" s="158">
        <v>143</v>
      </c>
      <c r="B601" s="130">
        <v>771</v>
      </c>
      <c r="C601" s="130" t="s">
        <v>456</v>
      </c>
      <c r="D601" s="130" t="s">
        <v>452</v>
      </c>
      <c r="E601" s="130" t="s">
        <v>21</v>
      </c>
      <c r="F601" s="159">
        <f>F610+F611+F612+F613</f>
        <v>1228.8999999999999</v>
      </c>
      <c r="G601" s="167">
        <f>SUM(H603:H607)/F601</f>
        <v>0</v>
      </c>
      <c r="H601" s="155">
        <f>G601*F601</f>
        <v>0</v>
      </c>
      <c r="I601" s="42" t="s">
        <v>109</v>
      </c>
    </row>
    <row r="602" spans="1:12" s="133" customFormat="1" ht="13.5" customHeight="1">
      <c r="A602" s="161"/>
      <c r="B602" s="169"/>
      <c r="C602" s="43"/>
      <c r="D602" s="43" t="s">
        <v>310</v>
      </c>
      <c r="E602" s="43"/>
      <c r="F602" s="44"/>
      <c r="G602" s="160"/>
      <c r="H602" s="160"/>
      <c r="I602" s="170"/>
    </row>
    <row r="603" spans="1:12" s="9" customFormat="1" ht="13.5" customHeight="1">
      <c r="A603" s="134" t="s">
        <v>922</v>
      </c>
      <c r="B603" s="131"/>
      <c r="C603" s="130"/>
      <c r="D603" s="43" t="s">
        <v>708</v>
      </c>
      <c r="E603" s="135" t="s">
        <v>21</v>
      </c>
      <c r="F603" s="44">
        <v>1351.8</v>
      </c>
      <c r="G603" s="67"/>
      <c r="H603" s="44">
        <f>F603*G603</f>
        <v>0</v>
      </c>
      <c r="I603" s="42"/>
    </row>
    <row r="604" spans="1:12" s="2" customFormat="1" ht="27.75" customHeight="1">
      <c r="A604" s="134" t="s">
        <v>923</v>
      </c>
      <c r="B604" s="132"/>
      <c r="C604" s="132"/>
      <c r="D604" s="43" t="s">
        <v>709</v>
      </c>
      <c r="E604" s="135" t="s">
        <v>27</v>
      </c>
      <c r="F604" s="44">
        <v>77.5</v>
      </c>
      <c r="G604" s="67"/>
      <c r="H604" s="44">
        <f>F604*G604</f>
        <v>0</v>
      </c>
      <c r="I604" s="45"/>
    </row>
    <row r="605" spans="1:12" s="2" customFormat="1" ht="13.5" customHeight="1">
      <c r="A605" s="134" t="s">
        <v>924</v>
      </c>
      <c r="B605" s="132"/>
      <c r="C605" s="132"/>
      <c r="D605" s="43" t="s">
        <v>710</v>
      </c>
      <c r="E605" s="135" t="s">
        <v>21</v>
      </c>
      <c r="F605" s="44">
        <v>1413.3</v>
      </c>
      <c r="G605" s="67"/>
      <c r="H605" s="44">
        <f>F605*G605</f>
        <v>0</v>
      </c>
      <c r="I605" s="45"/>
    </row>
    <row r="606" spans="1:12" s="2" customFormat="1" ht="31.5" customHeight="1">
      <c r="A606" s="134" t="s">
        <v>925</v>
      </c>
      <c r="B606" s="132"/>
      <c r="C606" s="132"/>
      <c r="D606" s="43" t="s">
        <v>711</v>
      </c>
      <c r="E606" s="135" t="s">
        <v>21</v>
      </c>
      <c r="F606" s="44">
        <v>1351.8</v>
      </c>
      <c r="G606" s="67"/>
      <c r="H606" s="44">
        <f>F606*G606</f>
        <v>0</v>
      </c>
      <c r="I606" s="45"/>
    </row>
    <row r="607" spans="1:12" s="2" customFormat="1" ht="13.5" customHeight="1">
      <c r="A607" s="134" t="s">
        <v>926</v>
      </c>
      <c r="B607" s="132"/>
      <c r="C607" s="132"/>
      <c r="D607" s="43" t="s">
        <v>710</v>
      </c>
      <c r="E607" s="135" t="s">
        <v>21</v>
      </c>
      <c r="F607" s="44">
        <v>1413.3</v>
      </c>
      <c r="G607" s="67"/>
      <c r="H607" s="44">
        <f>F607*G607</f>
        <v>0</v>
      </c>
      <c r="I607" s="45"/>
    </row>
    <row r="608" spans="1:12" s="136" customFormat="1" ht="37.5" customHeight="1">
      <c r="A608" s="161"/>
      <c r="B608" s="169"/>
      <c r="C608" s="43"/>
      <c r="D608" s="43" t="s">
        <v>322</v>
      </c>
      <c r="E608" s="43"/>
      <c r="F608" s="44"/>
      <c r="G608" s="160"/>
      <c r="H608" s="160"/>
      <c r="I608" s="170"/>
    </row>
    <row r="609" spans="1:12" s="10" customFormat="1" ht="14.25" customHeight="1">
      <c r="A609" s="164"/>
      <c r="B609" s="168"/>
      <c r="C609" s="132"/>
      <c r="D609" s="43" t="s">
        <v>323</v>
      </c>
      <c r="E609" s="132"/>
      <c r="F609" s="165"/>
      <c r="G609" s="166"/>
      <c r="H609" s="155"/>
      <c r="I609" s="11"/>
      <c r="J609" s="9"/>
      <c r="K609" s="9"/>
      <c r="L609" s="9"/>
    </row>
    <row r="610" spans="1:12" s="9" customFormat="1" ht="13.5" customHeight="1">
      <c r="A610" s="158"/>
      <c r="B610" s="131"/>
      <c r="C610" s="130"/>
      <c r="D610" s="43" t="s">
        <v>69</v>
      </c>
      <c r="E610" s="130"/>
      <c r="F610" s="44">
        <v>491.4</v>
      </c>
      <c r="G610" s="155"/>
      <c r="H610" s="155"/>
      <c r="I610" s="42"/>
    </row>
    <row r="611" spans="1:12" s="9" customFormat="1" ht="13.5" customHeight="1">
      <c r="A611" s="158"/>
      <c r="B611" s="131"/>
      <c r="C611" s="130"/>
      <c r="D611" s="43" t="s">
        <v>437</v>
      </c>
      <c r="E611" s="130"/>
      <c r="F611" s="44">
        <v>318</v>
      </c>
      <c r="G611" s="155"/>
      <c r="H611" s="155"/>
      <c r="I611" s="42"/>
    </row>
    <row r="612" spans="1:12" s="9" customFormat="1" ht="13.5" customHeight="1">
      <c r="A612" s="158"/>
      <c r="B612" s="131"/>
      <c r="C612" s="130"/>
      <c r="D612" s="43" t="s">
        <v>438</v>
      </c>
      <c r="E612" s="130"/>
      <c r="F612" s="44">
        <v>327.39999999999998</v>
      </c>
      <c r="G612" s="155"/>
      <c r="H612" s="155"/>
      <c r="I612" s="42"/>
    </row>
    <row r="613" spans="1:12" s="9" customFormat="1" ht="13.5" customHeight="1">
      <c r="A613" s="158"/>
      <c r="B613" s="131"/>
      <c r="C613" s="130"/>
      <c r="D613" s="43" t="s">
        <v>453</v>
      </c>
      <c r="E613" s="130"/>
      <c r="F613" s="44">
        <v>92.1</v>
      </c>
      <c r="G613" s="155"/>
      <c r="H613" s="155"/>
      <c r="I613" s="42"/>
    </row>
    <row r="614" spans="1:12" s="2" customFormat="1" ht="29.25" customHeight="1">
      <c r="A614" s="158">
        <v>144</v>
      </c>
      <c r="B614" s="130">
        <v>771</v>
      </c>
      <c r="C614" s="130" t="s">
        <v>459</v>
      </c>
      <c r="D614" s="130" t="s">
        <v>457</v>
      </c>
      <c r="E614" s="130" t="s">
        <v>21</v>
      </c>
      <c r="F614" s="159">
        <f>F623+F624+F625+F626+F627</f>
        <v>215.5</v>
      </c>
      <c r="G614" s="167">
        <f>SUM(H616:H620)/F614</f>
        <v>0</v>
      </c>
      <c r="H614" s="155">
        <f>G614*F614</f>
        <v>0</v>
      </c>
      <c r="I614" s="42" t="s">
        <v>109</v>
      </c>
    </row>
    <row r="615" spans="1:12" s="133" customFormat="1" ht="13.5" customHeight="1">
      <c r="A615" s="161"/>
      <c r="B615" s="169"/>
      <c r="C615" s="43"/>
      <c r="D615" s="43" t="s">
        <v>310</v>
      </c>
      <c r="E615" s="43"/>
      <c r="F615" s="44"/>
      <c r="G615" s="160"/>
      <c r="H615" s="160"/>
      <c r="I615" s="170"/>
    </row>
    <row r="616" spans="1:12" s="9" customFormat="1" ht="13.5" customHeight="1">
      <c r="A616" s="134" t="s">
        <v>927</v>
      </c>
      <c r="B616" s="131"/>
      <c r="C616" s="130"/>
      <c r="D616" s="43" t="s">
        <v>753</v>
      </c>
      <c r="E616" s="135" t="s">
        <v>21</v>
      </c>
      <c r="F616" s="44">
        <v>237.1</v>
      </c>
      <c r="G616" s="67"/>
      <c r="H616" s="44">
        <f>F616*G616</f>
        <v>0</v>
      </c>
      <c r="I616" s="42"/>
    </row>
    <row r="617" spans="1:12" s="2" customFormat="1" ht="13.5" customHeight="1">
      <c r="A617" s="134" t="s">
        <v>928</v>
      </c>
      <c r="B617" s="132"/>
      <c r="C617" s="132"/>
      <c r="D617" s="43" t="s">
        <v>754</v>
      </c>
      <c r="E617" s="135" t="s">
        <v>21</v>
      </c>
      <c r="F617" s="44">
        <v>237.1</v>
      </c>
      <c r="G617" s="67"/>
      <c r="H617" s="44">
        <f>F617*G617</f>
        <v>0</v>
      </c>
      <c r="I617" s="45"/>
    </row>
    <row r="618" spans="1:12" s="2" customFormat="1" ht="13.5" customHeight="1">
      <c r="A618" s="134" t="s">
        <v>985</v>
      </c>
      <c r="B618" s="132"/>
      <c r="C618" s="132"/>
      <c r="D618" s="43" t="s">
        <v>755</v>
      </c>
      <c r="E618" s="135" t="s">
        <v>21</v>
      </c>
      <c r="F618" s="44">
        <v>247.9</v>
      </c>
      <c r="G618" s="67"/>
      <c r="H618" s="44">
        <f>F618*G618</f>
        <v>0</v>
      </c>
      <c r="I618" s="45"/>
    </row>
    <row r="619" spans="1:12" s="2" customFormat="1" ht="31.5" customHeight="1">
      <c r="A619" s="134" t="s">
        <v>986</v>
      </c>
      <c r="B619" s="132"/>
      <c r="C619" s="132"/>
      <c r="D619" s="43" t="s">
        <v>756</v>
      </c>
      <c r="E619" s="135" t="s">
        <v>21</v>
      </c>
      <c r="F619" s="44">
        <v>237.1</v>
      </c>
      <c r="G619" s="67"/>
      <c r="H619" s="44">
        <f>F619*G619</f>
        <v>0</v>
      </c>
      <c r="I619" s="45"/>
    </row>
    <row r="620" spans="1:12" s="2" customFormat="1" ht="13.5" customHeight="1">
      <c r="A620" s="134" t="s">
        <v>987</v>
      </c>
      <c r="B620" s="132"/>
      <c r="C620" s="132"/>
      <c r="D620" s="43" t="s">
        <v>755</v>
      </c>
      <c r="E620" s="135" t="s">
        <v>21</v>
      </c>
      <c r="F620" s="44">
        <v>247.9</v>
      </c>
      <c r="G620" s="67"/>
      <c r="H620" s="44">
        <f>F620*G620</f>
        <v>0</v>
      </c>
      <c r="I620" s="45"/>
    </row>
    <row r="621" spans="1:12" s="136" customFormat="1" ht="37.5" customHeight="1">
      <c r="A621" s="161"/>
      <c r="B621" s="169"/>
      <c r="C621" s="43"/>
      <c r="D621" s="43" t="s">
        <v>322</v>
      </c>
      <c r="E621" s="43"/>
      <c r="F621" s="44"/>
      <c r="G621" s="160"/>
      <c r="H621" s="160"/>
      <c r="I621" s="170"/>
    </row>
    <row r="622" spans="1:12" s="10" customFormat="1" ht="14.25" customHeight="1">
      <c r="A622" s="164"/>
      <c r="B622" s="168"/>
      <c r="C622" s="132"/>
      <c r="D622" s="43" t="s">
        <v>323</v>
      </c>
      <c r="E622" s="132"/>
      <c r="F622" s="165"/>
      <c r="G622" s="166"/>
      <c r="H622" s="155"/>
      <c r="I622" s="11"/>
      <c r="J622" s="9"/>
      <c r="K622" s="9"/>
      <c r="L622" s="9"/>
    </row>
    <row r="623" spans="1:12" s="9" customFormat="1" ht="13.5" customHeight="1">
      <c r="A623" s="158"/>
      <c r="B623" s="131"/>
      <c r="C623" s="130"/>
      <c r="D623" s="43" t="s">
        <v>69</v>
      </c>
      <c r="E623" s="130"/>
      <c r="F623" s="44">
        <v>55.1</v>
      </c>
      <c r="G623" s="155"/>
      <c r="H623" s="155"/>
      <c r="I623" s="42"/>
    </row>
    <row r="624" spans="1:12" s="9" customFormat="1" ht="13.5" customHeight="1">
      <c r="A624" s="158"/>
      <c r="B624" s="131"/>
      <c r="C624" s="130"/>
      <c r="D624" s="43" t="s">
        <v>437</v>
      </c>
      <c r="E624" s="130"/>
      <c r="F624" s="44">
        <v>75.900000000000006</v>
      </c>
      <c r="G624" s="155"/>
      <c r="H624" s="155"/>
      <c r="I624" s="42"/>
    </row>
    <row r="625" spans="1:12" s="9" customFormat="1" ht="13.5" customHeight="1">
      <c r="A625" s="158"/>
      <c r="B625" s="131"/>
      <c r="C625" s="130"/>
      <c r="D625" s="43" t="s">
        <v>438</v>
      </c>
      <c r="E625" s="130"/>
      <c r="F625" s="44">
        <v>40.700000000000003</v>
      </c>
      <c r="G625" s="155"/>
      <c r="H625" s="155"/>
      <c r="I625" s="42"/>
    </row>
    <row r="626" spans="1:12" s="9" customFormat="1" ht="13.5" customHeight="1">
      <c r="A626" s="158"/>
      <c r="B626" s="131"/>
      <c r="C626" s="130"/>
      <c r="D626" s="43" t="s">
        <v>453</v>
      </c>
      <c r="E626" s="130"/>
      <c r="F626" s="44">
        <v>40</v>
      </c>
      <c r="G626" s="155"/>
      <c r="H626" s="155"/>
      <c r="I626" s="42"/>
    </row>
    <row r="627" spans="1:12" s="9" customFormat="1" ht="13.5" customHeight="1">
      <c r="A627" s="158"/>
      <c r="B627" s="131"/>
      <c r="C627" s="130"/>
      <c r="D627" s="43" t="s">
        <v>458</v>
      </c>
      <c r="E627" s="130"/>
      <c r="F627" s="44">
        <v>3.8</v>
      </c>
      <c r="G627" s="155"/>
      <c r="H627" s="155"/>
      <c r="I627" s="42"/>
    </row>
    <row r="628" spans="1:12" s="2" customFormat="1" ht="13.5" customHeight="1">
      <c r="A628" s="158">
        <v>145</v>
      </c>
      <c r="B628" s="130">
        <v>771</v>
      </c>
      <c r="C628" s="130" t="s">
        <v>499</v>
      </c>
      <c r="D628" s="130" t="s">
        <v>460</v>
      </c>
      <c r="E628" s="130" t="s">
        <v>21</v>
      </c>
      <c r="F628" s="159">
        <f>SUM(F634:F638)</f>
        <v>104.57008</v>
      </c>
      <c r="G628" s="167">
        <f>SUM(H630:H631)/F628</f>
        <v>0</v>
      </c>
      <c r="H628" s="155">
        <f>G628*F628</f>
        <v>0</v>
      </c>
      <c r="I628" s="42" t="s">
        <v>109</v>
      </c>
    </row>
    <row r="629" spans="1:12" s="133" customFormat="1" ht="13.5" customHeight="1">
      <c r="A629" s="161"/>
      <c r="B629" s="169"/>
      <c r="C629" s="43"/>
      <c r="D629" s="43" t="s">
        <v>310</v>
      </c>
      <c r="E629" s="43"/>
      <c r="F629" s="44"/>
      <c r="G629" s="160"/>
      <c r="H629" s="160"/>
      <c r="I629" s="170"/>
    </row>
    <row r="630" spans="1:12" s="9" customFormat="1" ht="13.5" customHeight="1">
      <c r="A630" s="134" t="s">
        <v>988</v>
      </c>
      <c r="B630" s="131"/>
      <c r="C630" s="130"/>
      <c r="D630" s="43" t="s">
        <v>759</v>
      </c>
      <c r="E630" s="135" t="s">
        <v>21</v>
      </c>
      <c r="F630" s="44">
        <v>115.1</v>
      </c>
      <c r="G630" s="67"/>
      <c r="H630" s="44">
        <f>F630*G630</f>
        <v>0</v>
      </c>
      <c r="I630" s="42"/>
    </row>
    <row r="631" spans="1:12" s="2" customFormat="1" ht="13.5" customHeight="1">
      <c r="A631" s="134" t="s">
        <v>989</v>
      </c>
      <c r="B631" s="132"/>
      <c r="C631" s="132"/>
      <c r="D631" s="43" t="s">
        <v>760</v>
      </c>
      <c r="E631" s="135" t="s">
        <v>21</v>
      </c>
      <c r="F631" s="44">
        <v>115.1</v>
      </c>
      <c r="G631" s="67"/>
      <c r="H631" s="44">
        <f>F631*G631</f>
        <v>0</v>
      </c>
      <c r="I631" s="45"/>
    </row>
    <row r="632" spans="1:12" s="136" customFormat="1" ht="37.5" customHeight="1">
      <c r="A632" s="161"/>
      <c r="B632" s="169"/>
      <c r="C632" s="43"/>
      <c r="D632" s="43" t="s">
        <v>322</v>
      </c>
      <c r="E632" s="43"/>
      <c r="F632" s="44"/>
      <c r="G632" s="160"/>
      <c r="H632" s="160"/>
      <c r="I632" s="170"/>
      <c r="J632" s="150"/>
    </row>
    <row r="633" spans="1:12" s="10" customFormat="1" ht="14.25" customHeight="1">
      <c r="A633" s="164"/>
      <c r="B633" s="168"/>
      <c r="C633" s="132"/>
      <c r="D633" s="43" t="s">
        <v>323</v>
      </c>
      <c r="E633" s="132"/>
      <c r="F633" s="165"/>
      <c r="G633" s="166"/>
      <c r="H633" s="155"/>
      <c r="I633" s="11"/>
      <c r="J633" s="9"/>
      <c r="K633" s="9"/>
      <c r="L633" s="9"/>
    </row>
    <row r="634" spans="1:12" s="9" customFormat="1" ht="13.5" customHeight="1">
      <c r="A634" s="158"/>
      <c r="B634" s="131"/>
      <c r="C634" s="130"/>
      <c r="D634" s="43" t="s">
        <v>110</v>
      </c>
      <c r="E634" s="130"/>
      <c r="F634" s="44">
        <v>15.6</v>
      </c>
      <c r="G634" s="155"/>
      <c r="H634" s="155"/>
      <c r="I634" s="42"/>
    </row>
    <row r="635" spans="1:12" s="9" customFormat="1" ht="13.5" customHeight="1">
      <c r="A635" s="158"/>
      <c r="B635" s="131"/>
      <c r="C635" s="130"/>
      <c r="D635" s="43" t="s">
        <v>69</v>
      </c>
      <c r="E635" s="130"/>
      <c r="F635" s="44">
        <v>15.3</v>
      </c>
      <c r="G635" s="155"/>
      <c r="H635" s="155"/>
      <c r="I635" s="42"/>
    </row>
    <row r="636" spans="1:12" s="9" customFormat="1" ht="13.5" customHeight="1">
      <c r="A636" s="158"/>
      <c r="B636" s="131"/>
      <c r="C636" s="130"/>
      <c r="D636" s="43" t="s">
        <v>437</v>
      </c>
      <c r="E636" s="130"/>
      <c r="F636" s="44">
        <v>16.5</v>
      </c>
      <c r="G636" s="155"/>
      <c r="H636" s="155"/>
      <c r="I636" s="42"/>
    </row>
    <row r="637" spans="1:12" s="9" customFormat="1" ht="13.5" customHeight="1">
      <c r="A637" s="158"/>
      <c r="B637" s="131"/>
      <c r="C637" s="130"/>
      <c r="D637" s="43" t="s">
        <v>758</v>
      </c>
      <c r="E637" s="130"/>
      <c r="F637" s="44">
        <f>31.6+1.35*0.169*24</f>
        <v>37.075600000000001</v>
      </c>
      <c r="G637" s="155"/>
      <c r="H637" s="155"/>
      <c r="I637" s="42"/>
    </row>
    <row r="638" spans="1:12" s="9" customFormat="1" ht="13.5" customHeight="1">
      <c r="A638" s="158"/>
      <c r="B638" s="131"/>
      <c r="C638" s="130"/>
      <c r="D638" s="43" t="s">
        <v>757</v>
      </c>
      <c r="E638" s="130"/>
      <c r="F638" s="44">
        <f>14.7+1.33*0.169*24</f>
        <v>20.094480000000001</v>
      </c>
      <c r="G638" s="155"/>
      <c r="H638" s="155"/>
      <c r="I638" s="42"/>
    </row>
    <row r="639" spans="1:12" s="2" customFormat="1" ht="13.5" customHeight="1">
      <c r="A639" s="158">
        <v>146</v>
      </c>
      <c r="B639" s="130">
        <v>772</v>
      </c>
      <c r="C639" s="130" t="s">
        <v>508</v>
      </c>
      <c r="D639" s="130" t="s">
        <v>500</v>
      </c>
      <c r="E639" s="130" t="s">
        <v>21</v>
      </c>
      <c r="F639" s="159">
        <f>F642</f>
        <v>18.54</v>
      </c>
      <c r="G639" s="155"/>
      <c r="H639" s="155">
        <f>F639*G639</f>
        <v>0</v>
      </c>
      <c r="I639" s="42" t="s">
        <v>109</v>
      </c>
    </row>
    <row r="640" spans="1:12" s="2" customFormat="1" ht="13.5" customHeight="1">
      <c r="A640" s="174"/>
      <c r="B640" s="131"/>
      <c r="C640" s="130"/>
      <c r="D640" s="43" t="s">
        <v>494</v>
      </c>
      <c r="E640" s="130"/>
      <c r="F640" s="44"/>
      <c r="G640" s="155"/>
      <c r="H640" s="155"/>
      <c r="I640" s="42"/>
    </row>
    <row r="641" spans="1:12" s="146" customFormat="1" ht="24" customHeight="1">
      <c r="A641" s="174"/>
      <c r="B641" s="186"/>
      <c r="C641" s="186"/>
      <c r="D641" s="43" t="s">
        <v>502</v>
      </c>
      <c r="E641" s="186"/>
      <c r="F641" s="44"/>
      <c r="G641" s="187"/>
      <c r="H641" s="155"/>
      <c r="I641" s="42"/>
    </row>
    <row r="642" spans="1:12" s="9" customFormat="1" ht="13.5" customHeight="1">
      <c r="A642" s="158"/>
      <c r="B642" s="131"/>
      <c r="C642" s="130"/>
      <c r="D642" s="43" t="s">
        <v>501</v>
      </c>
      <c r="E642" s="130"/>
      <c r="F642" s="44">
        <v>18.54</v>
      </c>
      <c r="G642" s="155"/>
      <c r="H642" s="155"/>
      <c r="I642" s="42"/>
    </row>
    <row r="643" spans="1:12" s="2" customFormat="1" ht="13.5" customHeight="1">
      <c r="A643" s="158">
        <v>147</v>
      </c>
      <c r="B643" s="130">
        <v>771</v>
      </c>
      <c r="C643" s="130" t="s">
        <v>314</v>
      </c>
      <c r="D643" s="130" t="s">
        <v>315</v>
      </c>
      <c r="E643" s="130" t="s">
        <v>21</v>
      </c>
      <c r="F643" s="159">
        <f>F644</f>
        <v>2181.9700799999996</v>
      </c>
      <c r="G643" s="155"/>
      <c r="H643" s="155">
        <f>F643*G643</f>
        <v>0</v>
      </c>
      <c r="I643" s="42" t="s">
        <v>109</v>
      </c>
      <c r="J643" s="12"/>
      <c r="K643" s="12"/>
      <c r="L643" s="12"/>
    </row>
    <row r="644" spans="1:12" s="9" customFormat="1" ht="13.5" customHeight="1">
      <c r="A644" s="158"/>
      <c r="B644" s="131"/>
      <c r="C644" s="130"/>
      <c r="D644" s="43" t="s">
        <v>316</v>
      </c>
      <c r="E644" s="130"/>
      <c r="F644" s="44">
        <f>F582+F589+F601+F614+F628</f>
        <v>2181.9700799999996</v>
      </c>
      <c r="G644" s="155"/>
      <c r="H644" s="155"/>
      <c r="I644" s="42"/>
    </row>
    <row r="645" spans="1:12" s="2" customFormat="1" ht="13.5" customHeight="1">
      <c r="A645" s="158">
        <v>148</v>
      </c>
      <c r="B645" s="130">
        <v>771</v>
      </c>
      <c r="C645" s="130">
        <v>771579191</v>
      </c>
      <c r="D645" s="130" t="s">
        <v>317</v>
      </c>
      <c r="E645" s="130" t="s">
        <v>21</v>
      </c>
      <c r="F645" s="159">
        <f>SUM(F646:F650)</f>
        <v>46.569999999999993</v>
      </c>
      <c r="G645" s="155"/>
      <c r="H645" s="155">
        <f>F645*G645</f>
        <v>0</v>
      </c>
      <c r="I645" s="42" t="s">
        <v>105</v>
      </c>
      <c r="J645" s="12"/>
      <c r="K645" s="12"/>
      <c r="L645" s="12"/>
    </row>
    <row r="646" spans="1:12" s="9" customFormat="1" ht="13.5" customHeight="1">
      <c r="A646" s="158"/>
      <c r="B646" s="131"/>
      <c r="C646" s="130"/>
      <c r="D646" s="43" t="s">
        <v>503</v>
      </c>
      <c r="E646" s="130"/>
      <c r="F646" s="44">
        <f>3.31+3.31+2.69+2.69+2.21+2.89+2+1.58+1.96+1.58</f>
        <v>24.22</v>
      </c>
      <c r="G646" s="155"/>
      <c r="H646" s="155"/>
      <c r="I646" s="42"/>
    </row>
    <row r="647" spans="1:12" s="9" customFormat="1" ht="13.5" customHeight="1">
      <c r="A647" s="158"/>
      <c r="B647" s="131"/>
      <c r="C647" s="130"/>
      <c r="D647" s="43" t="s">
        <v>890</v>
      </c>
      <c r="E647" s="130"/>
      <c r="F647" s="44">
        <f>2.89+2.69</f>
        <v>5.58</v>
      </c>
      <c r="G647" s="155"/>
      <c r="H647" s="155"/>
      <c r="I647" s="42"/>
    </row>
    <row r="648" spans="1:12" s="9" customFormat="1" ht="13.5" customHeight="1">
      <c r="A648" s="158"/>
      <c r="B648" s="131"/>
      <c r="C648" s="130"/>
      <c r="D648" s="43" t="s">
        <v>891</v>
      </c>
      <c r="E648" s="130"/>
      <c r="F648" s="44">
        <f>2.89+2.69</f>
        <v>5.58</v>
      </c>
      <c r="G648" s="155"/>
      <c r="H648" s="155"/>
      <c r="I648" s="42"/>
    </row>
    <row r="649" spans="1:12" s="9" customFormat="1" ht="13.5" customHeight="1">
      <c r="A649" s="158"/>
      <c r="B649" s="131"/>
      <c r="C649" s="130"/>
      <c r="D649" s="43" t="s">
        <v>892</v>
      </c>
      <c r="E649" s="130"/>
      <c r="F649" s="44">
        <f>2.88+2.69</f>
        <v>5.57</v>
      </c>
      <c r="G649" s="155"/>
      <c r="H649" s="155"/>
      <c r="I649" s="42"/>
    </row>
    <row r="650" spans="1:12" s="9" customFormat="1" ht="13.5" customHeight="1">
      <c r="A650" s="158"/>
      <c r="B650" s="131"/>
      <c r="C650" s="130"/>
      <c r="D650" s="43" t="s">
        <v>893</v>
      </c>
      <c r="E650" s="130"/>
      <c r="F650" s="44">
        <f>2.93+2.69</f>
        <v>5.62</v>
      </c>
      <c r="G650" s="155"/>
      <c r="H650" s="155"/>
      <c r="I650" s="42"/>
    </row>
    <row r="651" spans="1:12" s="2" customFormat="1" ht="13.5" customHeight="1">
      <c r="A651" s="158">
        <v>149</v>
      </c>
      <c r="B651" s="130">
        <v>771</v>
      </c>
      <c r="C651" s="130">
        <v>771579196</v>
      </c>
      <c r="D651" s="130" t="s">
        <v>318</v>
      </c>
      <c r="E651" s="130" t="s">
        <v>21</v>
      </c>
      <c r="F651" s="159">
        <f>F643</f>
        <v>2181.9700799999996</v>
      </c>
      <c r="G651" s="155"/>
      <c r="H651" s="155">
        <f>F651*G651</f>
        <v>0</v>
      </c>
      <c r="I651" s="42" t="s">
        <v>105</v>
      </c>
      <c r="J651" s="12"/>
      <c r="K651" s="12"/>
      <c r="L651" s="12"/>
    </row>
    <row r="652" spans="1:12" s="2" customFormat="1" ht="13.5" customHeight="1">
      <c r="A652" s="158">
        <v>150</v>
      </c>
      <c r="B652" s="130">
        <v>771</v>
      </c>
      <c r="C652" s="130">
        <v>771591111</v>
      </c>
      <c r="D652" s="130" t="s">
        <v>319</v>
      </c>
      <c r="E652" s="130" t="s">
        <v>21</v>
      </c>
      <c r="F652" s="159">
        <f>F651</f>
        <v>2181.9700799999996</v>
      </c>
      <c r="G652" s="155"/>
      <c r="H652" s="155">
        <f>F652*G652</f>
        <v>0</v>
      </c>
      <c r="I652" s="42" t="s">
        <v>105</v>
      </c>
      <c r="J652" s="12"/>
      <c r="K652" s="12"/>
      <c r="L652" s="12"/>
    </row>
    <row r="653" spans="1:12" s="2" customFormat="1" ht="13.5" customHeight="1">
      <c r="A653" s="158">
        <v>151</v>
      </c>
      <c r="B653" s="130">
        <v>771</v>
      </c>
      <c r="C653" s="130">
        <v>998771204</v>
      </c>
      <c r="D653" s="130" t="s">
        <v>440</v>
      </c>
      <c r="E653" s="130" t="s">
        <v>42</v>
      </c>
      <c r="F653" s="159">
        <v>7.56</v>
      </c>
      <c r="G653" s="155"/>
      <c r="H653" s="155">
        <f>F653*G653</f>
        <v>0</v>
      </c>
      <c r="I653" s="42" t="s">
        <v>105</v>
      </c>
      <c r="J653" s="9"/>
      <c r="K653" s="12"/>
      <c r="L653" s="12"/>
    </row>
    <row r="654" spans="1:12" s="10" customFormat="1" ht="13.5" customHeight="1">
      <c r="A654" s="158">
        <v>152</v>
      </c>
      <c r="B654" s="130" t="s">
        <v>131</v>
      </c>
      <c r="C654" s="130" t="s">
        <v>66</v>
      </c>
      <c r="D654" s="130" t="s">
        <v>67</v>
      </c>
      <c r="E654" s="130" t="s">
        <v>28</v>
      </c>
      <c r="F654" s="159">
        <f>F655</f>
        <v>50</v>
      </c>
      <c r="G654" s="155"/>
      <c r="H654" s="155">
        <f>F654*G654</f>
        <v>0</v>
      </c>
      <c r="I654" s="42" t="s">
        <v>105</v>
      </c>
      <c r="J654" s="9"/>
      <c r="K654" s="9"/>
      <c r="L654" s="9"/>
    </row>
    <row r="655" spans="1:12" s="2" customFormat="1" ht="13.5" customHeight="1">
      <c r="A655" s="164"/>
      <c r="B655" s="132"/>
      <c r="C655" s="132"/>
      <c r="D655" s="43" t="s">
        <v>320</v>
      </c>
      <c r="E655" s="132"/>
      <c r="F655" s="44">
        <v>50</v>
      </c>
      <c r="G655" s="166"/>
      <c r="H655" s="155"/>
      <c r="I655" s="45"/>
      <c r="J655" s="12"/>
      <c r="K655" s="12"/>
      <c r="L655" s="12"/>
    </row>
    <row r="656" spans="1:12" s="2" customFormat="1" ht="24" customHeight="1">
      <c r="A656" s="164"/>
      <c r="B656" s="132"/>
      <c r="C656" s="132"/>
      <c r="D656" s="43" t="s">
        <v>308</v>
      </c>
      <c r="E656" s="132"/>
      <c r="F656" s="44"/>
      <c r="G656" s="166"/>
      <c r="H656" s="155"/>
      <c r="I656" s="45"/>
      <c r="J656" s="12"/>
      <c r="K656" s="12"/>
      <c r="L656" s="12"/>
    </row>
    <row r="657" spans="1:25" s="2" customFormat="1" ht="13.5" customHeight="1">
      <c r="A657" s="111"/>
      <c r="B657" s="112"/>
      <c r="C657" s="6">
        <v>772</v>
      </c>
      <c r="D657" s="6" t="s">
        <v>489</v>
      </c>
      <c r="E657" s="6"/>
      <c r="F657" s="7"/>
      <c r="G657" s="8"/>
      <c r="H657" s="8">
        <f>SUM(H658:H667)</f>
        <v>0</v>
      </c>
      <c r="I657" s="113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</row>
    <row r="658" spans="1:25" s="2" customFormat="1" ht="13.5" customHeight="1">
      <c r="A658" s="158">
        <v>153</v>
      </c>
      <c r="B658" s="130">
        <v>772</v>
      </c>
      <c r="C658" s="130" t="s">
        <v>497</v>
      </c>
      <c r="D658" s="130" t="s">
        <v>493</v>
      </c>
      <c r="E658" s="130" t="s">
        <v>21</v>
      </c>
      <c r="F658" s="159">
        <f>F661+F662+F663</f>
        <v>69.757554999999996</v>
      </c>
      <c r="G658" s="155"/>
      <c r="H658" s="155">
        <f>F658*G658</f>
        <v>0</v>
      </c>
      <c r="I658" s="42" t="s">
        <v>109</v>
      </c>
    </row>
    <row r="659" spans="1:25" s="2" customFormat="1" ht="13.5" customHeight="1">
      <c r="A659" s="174"/>
      <c r="B659" s="131"/>
      <c r="C659" s="130"/>
      <c r="D659" s="43" t="s">
        <v>494</v>
      </c>
      <c r="E659" s="130"/>
      <c r="F659" s="44"/>
      <c r="G659" s="155"/>
      <c r="H659" s="155"/>
      <c r="I659" s="42"/>
    </row>
    <row r="660" spans="1:25" s="146" customFormat="1" ht="24" customHeight="1">
      <c r="A660" s="174"/>
      <c r="B660" s="186"/>
      <c r="C660" s="186"/>
      <c r="D660" s="43" t="s">
        <v>495</v>
      </c>
      <c r="E660" s="186"/>
      <c r="F660" s="44"/>
      <c r="G660" s="187"/>
      <c r="H660" s="155"/>
      <c r="I660" s="42"/>
    </row>
    <row r="661" spans="1:25" s="9" customFormat="1" ht="13.5" customHeight="1">
      <c r="A661" s="158"/>
      <c r="B661" s="131"/>
      <c r="C661" s="130"/>
      <c r="D661" s="43" t="s">
        <v>498</v>
      </c>
      <c r="E661" s="130"/>
      <c r="F661" s="44">
        <f>8.41+2.405*0.145*12</f>
        <v>12.5947</v>
      </c>
      <c r="G661" s="155"/>
      <c r="H661" s="155"/>
      <c r="I661" s="42"/>
    </row>
    <row r="662" spans="1:25" s="9" customFormat="1" ht="13.5" customHeight="1">
      <c r="A662" s="158"/>
      <c r="B662" s="131"/>
      <c r="C662" s="130"/>
      <c r="D662" s="43" t="s">
        <v>540</v>
      </c>
      <c r="E662" s="130"/>
      <c r="F662" s="44">
        <f>9.4+2.49*0.149*13+9.2+2.395*0.159*13</f>
        <v>28.373595000000002</v>
      </c>
      <c r="G662" s="155"/>
      <c r="H662" s="155"/>
      <c r="I662" s="42"/>
    </row>
    <row r="663" spans="1:25" s="9" customFormat="1" ht="13.5" customHeight="1">
      <c r="A663" s="158"/>
      <c r="B663" s="131"/>
      <c r="C663" s="130"/>
      <c r="D663" s="43" t="s">
        <v>622</v>
      </c>
      <c r="E663" s="130"/>
      <c r="F663" s="44">
        <f>9.5+2.49*0.15*13+9.63+2.48*0.149*13</f>
        <v>28.789260000000002</v>
      </c>
      <c r="G663" s="155"/>
      <c r="H663" s="155"/>
      <c r="I663" s="42"/>
    </row>
    <row r="664" spans="1:25" s="2" customFormat="1" ht="13.5" customHeight="1">
      <c r="A664" s="158">
        <v>154</v>
      </c>
      <c r="B664" s="130">
        <v>772</v>
      </c>
      <c r="C664" s="130">
        <v>998772203</v>
      </c>
      <c r="D664" s="130" t="s">
        <v>491</v>
      </c>
      <c r="E664" s="130" t="s">
        <v>42</v>
      </c>
      <c r="F664" s="159">
        <v>7.2</v>
      </c>
      <c r="G664" s="155"/>
      <c r="H664" s="155">
        <f>F664*G664</f>
        <v>0</v>
      </c>
      <c r="I664" s="42" t="s">
        <v>105</v>
      </c>
      <c r="J664" s="9"/>
      <c r="K664" s="12"/>
      <c r="L664" s="12"/>
    </row>
    <row r="665" spans="1:25" s="10" customFormat="1" ht="13.5" customHeight="1">
      <c r="A665" s="158">
        <v>155</v>
      </c>
      <c r="B665" s="130" t="s">
        <v>131</v>
      </c>
      <c r="C665" s="130" t="s">
        <v>66</v>
      </c>
      <c r="D665" s="130" t="s">
        <v>67</v>
      </c>
      <c r="E665" s="130" t="s">
        <v>28</v>
      </c>
      <c r="F665" s="159">
        <f>F666</f>
        <v>10</v>
      </c>
      <c r="G665" s="155"/>
      <c r="H665" s="155">
        <f>F665*G665</f>
        <v>0</v>
      </c>
      <c r="I665" s="42" t="s">
        <v>105</v>
      </c>
      <c r="J665" s="9"/>
      <c r="K665" s="9"/>
      <c r="L665" s="9"/>
    </row>
    <row r="666" spans="1:25" s="2" customFormat="1" ht="13.5" customHeight="1">
      <c r="A666" s="164"/>
      <c r="B666" s="132"/>
      <c r="C666" s="132"/>
      <c r="D666" s="43" t="s">
        <v>490</v>
      </c>
      <c r="E666" s="132"/>
      <c r="F666" s="44">
        <v>10</v>
      </c>
      <c r="G666" s="166"/>
      <c r="H666" s="155"/>
      <c r="I666" s="45"/>
      <c r="J666" s="12"/>
      <c r="K666" s="12"/>
      <c r="L666" s="12"/>
    </row>
    <row r="667" spans="1:25" s="2" customFormat="1" ht="24" customHeight="1">
      <c r="A667" s="164"/>
      <c r="B667" s="132"/>
      <c r="C667" s="132"/>
      <c r="D667" s="43" t="s">
        <v>308</v>
      </c>
      <c r="E667" s="132"/>
      <c r="F667" s="44"/>
      <c r="G667" s="166"/>
      <c r="H667" s="155"/>
      <c r="I667" s="45"/>
      <c r="J667" s="12"/>
      <c r="K667" s="12"/>
      <c r="L667" s="12"/>
    </row>
    <row r="668" spans="1:25" s="2" customFormat="1" ht="13.5" customHeight="1">
      <c r="A668" s="152"/>
      <c r="B668" s="153"/>
      <c r="C668" s="6">
        <v>775</v>
      </c>
      <c r="D668" s="6" t="s">
        <v>134</v>
      </c>
      <c r="E668" s="6"/>
      <c r="F668" s="7"/>
      <c r="G668" s="8"/>
      <c r="H668" s="8">
        <f>H669+SUM(H674:H682)</f>
        <v>0</v>
      </c>
      <c r="I668" s="188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</row>
    <row r="669" spans="1:25" s="2" customFormat="1" ht="30.75" customHeight="1">
      <c r="A669" s="158">
        <v>156</v>
      </c>
      <c r="B669" s="131" t="s">
        <v>135</v>
      </c>
      <c r="C669" s="130" t="s">
        <v>470</v>
      </c>
      <c r="D669" s="130" t="s">
        <v>471</v>
      </c>
      <c r="E669" s="130" t="s">
        <v>21</v>
      </c>
      <c r="F669" s="159">
        <f>F675+F676</f>
        <v>1716</v>
      </c>
      <c r="G669" s="167">
        <f>SUM(H671:H673)/F669</f>
        <v>0</v>
      </c>
      <c r="H669" s="155">
        <f>G669*F669</f>
        <v>0</v>
      </c>
      <c r="I669" s="42" t="s">
        <v>109</v>
      </c>
    </row>
    <row r="670" spans="1:25" s="133" customFormat="1" ht="13.5" customHeight="1">
      <c r="A670" s="161"/>
      <c r="B670" s="169"/>
      <c r="C670" s="43"/>
      <c r="D670" s="43" t="s">
        <v>310</v>
      </c>
      <c r="E670" s="43"/>
      <c r="F670" s="44"/>
      <c r="G670" s="160"/>
      <c r="H670" s="160"/>
      <c r="I670" s="170"/>
    </row>
    <row r="671" spans="1:25" s="9" customFormat="1" ht="27" customHeight="1">
      <c r="A671" s="134" t="s">
        <v>990</v>
      </c>
      <c r="B671" s="131"/>
      <c r="C671" s="130"/>
      <c r="D671" s="43" t="s">
        <v>860</v>
      </c>
      <c r="E671" s="135" t="s">
        <v>21</v>
      </c>
      <c r="F671" s="44">
        <v>1887.6</v>
      </c>
      <c r="G671" s="67"/>
      <c r="H671" s="44">
        <f>F671*G671</f>
        <v>0</v>
      </c>
      <c r="I671" s="42"/>
    </row>
    <row r="672" spans="1:25" s="2" customFormat="1" ht="29.25" customHeight="1">
      <c r="A672" s="134" t="s">
        <v>991</v>
      </c>
      <c r="B672" s="132"/>
      <c r="C672" s="132"/>
      <c r="D672" s="43" t="s">
        <v>751</v>
      </c>
      <c r="E672" s="135" t="s">
        <v>21</v>
      </c>
      <c r="F672" s="44">
        <v>1887.6</v>
      </c>
      <c r="G672" s="67"/>
      <c r="H672" s="44">
        <f>F672*G672</f>
        <v>0</v>
      </c>
      <c r="I672" s="45"/>
    </row>
    <row r="673" spans="1:25" s="2" customFormat="1" ht="13.5" customHeight="1">
      <c r="A673" s="134" t="s">
        <v>992</v>
      </c>
      <c r="B673" s="132"/>
      <c r="C673" s="132"/>
      <c r="D673" s="43" t="s">
        <v>752</v>
      </c>
      <c r="E673" s="135" t="s">
        <v>21</v>
      </c>
      <c r="F673" s="44">
        <v>1973.4</v>
      </c>
      <c r="G673" s="67"/>
      <c r="H673" s="44">
        <f>F673*G673</f>
        <v>0</v>
      </c>
      <c r="I673" s="45"/>
    </row>
    <row r="674" spans="1:25" s="136" customFormat="1" ht="27" customHeight="1">
      <c r="A674" s="161"/>
      <c r="B674" s="169"/>
      <c r="C674" s="43"/>
      <c r="D674" s="43" t="s">
        <v>144</v>
      </c>
      <c r="E674" s="43"/>
      <c r="F674" s="44"/>
      <c r="G674" s="160"/>
      <c r="H674" s="160"/>
      <c r="I674" s="170"/>
    </row>
    <row r="675" spans="1:25" s="9" customFormat="1" ht="13.5" customHeight="1">
      <c r="A675" s="158"/>
      <c r="B675" s="131"/>
      <c r="C675" s="130"/>
      <c r="D675" s="43" t="s">
        <v>453</v>
      </c>
      <c r="E675" s="130"/>
      <c r="F675" s="44">
        <v>1274.9000000000001</v>
      </c>
      <c r="G675" s="155"/>
      <c r="H675" s="155"/>
      <c r="I675" s="42"/>
    </row>
    <row r="676" spans="1:25" s="9" customFormat="1" ht="13.5" customHeight="1">
      <c r="A676" s="158"/>
      <c r="B676" s="131"/>
      <c r="C676" s="130"/>
      <c r="D676" s="43" t="s">
        <v>458</v>
      </c>
      <c r="E676" s="130"/>
      <c r="F676" s="44">
        <v>441.1</v>
      </c>
      <c r="G676" s="155"/>
      <c r="H676" s="155"/>
      <c r="I676" s="42"/>
    </row>
    <row r="677" spans="1:25" s="2" customFormat="1" ht="13.5" customHeight="1">
      <c r="A677" s="158">
        <v>157</v>
      </c>
      <c r="B677" s="131" t="s">
        <v>135</v>
      </c>
      <c r="C677" s="130" t="s">
        <v>857</v>
      </c>
      <c r="D677" s="130" t="s">
        <v>858</v>
      </c>
      <c r="E677" s="130" t="s">
        <v>21</v>
      </c>
      <c r="F677" s="159">
        <f>F678</f>
        <v>1716</v>
      </c>
      <c r="G677" s="155"/>
      <c r="H677" s="155">
        <f>F677*G677</f>
        <v>0</v>
      </c>
      <c r="I677" s="42" t="s">
        <v>109</v>
      </c>
    </row>
    <row r="678" spans="1:25" s="9" customFormat="1" ht="27" customHeight="1">
      <c r="A678" s="158"/>
      <c r="B678" s="131"/>
      <c r="C678" s="130"/>
      <c r="D678" s="43" t="s">
        <v>313</v>
      </c>
      <c r="E678" s="130"/>
      <c r="F678" s="44">
        <f>F669</f>
        <v>1716</v>
      </c>
      <c r="G678" s="155"/>
      <c r="H678" s="155"/>
      <c r="I678" s="42"/>
    </row>
    <row r="679" spans="1:25" s="2" customFormat="1" ht="13.5" customHeight="1">
      <c r="A679" s="158">
        <v>158</v>
      </c>
      <c r="B679" s="130">
        <v>775</v>
      </c>
      <c r="C679" s="130">
        <v>998775204</v>
      </c>
      <c r="D679" s="130" t="s">
        <v>492</v>
      </c>
      <c r="E679" s="130" t="s">
        <v>42</v>
      </c>
      <c r="F679" s="159">
        <v>1.3</v>
      </c>
      <c r="G679" s="155"/>
      <c r="H679" s="155">
        <f>F679*G679</f>
        <v>0</v>
      </c>
      <c r="I679" s="42" t="s">
        <v>105</v>
      </c>
      <c r="L679" s="12"/>
    </row>
    <row r="680" spans="1:25" s="2" customFormat="1" ht="13.5" customHeight="1">
      <c r="A680" s="158">
        <v>159</v>
      </c>
      <c r="B680" s="130" t="s">
        <v>131</v>
      </c>
      <c r="C680" s="130" t="s">
        <v>66</v>
      </c>
      <c r="D680" s="130" t="s">
        <v>67</v>
      </c>
      <c r="E680" s="130" t="s">
        <v>28</v>
      </c>
      <c r="F680" s="159">
        <f>F681</f>
        <v>60</v>
      </c>
      <c r="G680" s="155"/>
      <c r="H680" s="155">
        <f>F680*G680</f>
        <v>0</v>
      </c>
      <c r="I680" s="42" t="s">
        <v>105</v>
      </c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</row>
    <row r="681" spans="1:25" s="2" customFormat="1" ht="13.5" customHeight="1">
      <c r="A681" s="164"/>
      <c r="B681" s="132"/>
      <c r="C681" s="132"/>
      <c r="D681" s="43" t="s">
        <v>136</v>
      </c>
      <c r="E681" s="132"/>
      <c r="F681" s="44">
        <v>60</v>
      </c>
      <c r="G681" s="166"/>
      <c r="H681" s="155"/>
      <c r="I681" s="45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</row>
    <row r="682" spans="1:25" s="2" customFormat="1" ht="13.5" customHeight="1">
      <c r="A682" s="164"/>
      <c r="B682" s="132"/>
      <c r="C682" s="132"/>
      <c r="D682" s="43" t="s">
        <v>137</v>
      </c>
      <c r="E682" s="132"/>
      <c r="F682" s="44"/>
      <c r="G682" s="166"/>
      <c r="H682" s="155"/>
      <c r="I682" s="45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</row>
    <row r="683" spans="1:25" s="2" customFormat="1" ht="13.5" customHeight="1">
      <c r="A683" s="152"/>
      <c r="B683" s="153"/>
      <c r="C683" s="6">
        <v>776</v>
      </c>
      <c r="D683" s="6" t="s">
        <v>65</v>
      </c>
      <c r="E683" s="6"/>
      <c r="F683" s="7"/>
      <c r="G683" s="8"/>
      <c r="H683" s="8">
        <f>H684+H698+H710+SUM(H717:H726)</f>
        <v>0</v>
      </c>
      <c r="I683" s="188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</row>
    <row r="684" spans="1:25" s="2" customFormat="1" ht="13.5" customHeight="1">
      <c r="A684" s="158">
        <v>160</v>
      </c>
      <c r="B684" s="131" t="s">
        <v>446</v>
      </c>
      <c r="C684" s="130" t="s">
        <v>451</v>
      </c>
      <c r="D684" s="130" t="s">
        <v>454</v>
      </c>
      <c r="E684" s="130" t="s">
        <v>21</v>
      </c>
      <c r="F684" s="159">
        <f>F694+F695+F696+F697</f>
        <v>464.90000000000003</v>
      </c>
      <c r="G684" s="167">
        <f>SUM(H686:H691)/F684</f>
        <v>0</v>
      </c>
      <c r="H684" s="155">
        <f>G684*F684</f>
        <v>0</v>
      </c>
      <c r="I684" s="42" t="s">
        <v>109</v>
      </c>
    </row>
    <row r="685" spans="1:25" s="133" customFormat="1" ht="13.5" customHeight="1">
      <c r="A685" s="161"/>
      <c r="B685" s="169"/>
      <c r="C685" s="43"/>
      <c r="D685" s="43" t="s">
        <v>310</v>
      </c>
      <c r="E685" s="43"/>
      <c r="F685" s="44"/>
      <c r="G685" s="160"/>
      <c r="H685" s="160"/>
      <c r="I685" s="170"/>
    </row>
    <row r="686" spans="1:25" s="9" customFormat="1" ht="13.5" customHeight="1">
      <c r="A686" s="134" t="s">
        <v>929</v>
      </c>
      <c r="B686" s="131"/>
      <c r="C686" s="130"/>
      <c r="D686" s="43" t="s">
        <v>695</v>
      </c>
      <c r="E686" s="135" t="s">
        <v>21</v>
      </c>
      <c r="F686" s="44">
        <v>511.4</v>
      </c>
      <c r="G686" s="67"/>
      <c r="H686" s="44">
        <f t="shared" ref="H686:H691" si="3">F686*G686</f>
        <v>0</v>
      </c>
      <c r="I686" s="42"/>
    </row>
    <row r="687" spans="1:25" s="2" customFormat="1" ht="13.5" customHeight="1">
      <c r="A687" s="134" t="s">
        <v>930</v>
      </c>
      <c r="B687" s="132"/>
      <c r="C687" s="132"/>
      <c r="D687" s="43" t="s">
        <v>696</v>
      </c>
      <c r="E687" s="135" t="s">
        <v>21</v>
      </c>
      <c r="F687" s="44">
        <v>511.4</v>
      </c>
      <c r="G687" s="67"/>
      <c r="H687" s="44">
        <f t="shared" si="3"/>
        <v>0</v>
      </c>
      <c r="I687" s="45"/>
    </row>
    <row r="688" spans="1:25" s="2" customFormat="1" ht="27.75" customHeight="1">
      <c r="A688" s="134" t="s">
        <v>931</v>
      </c>
      <c r="B688" s="132"/>
      <c r="C688" s="132"/>
      <c r="D688" s="43" t="s">
        <v>697</v>
      </c>
      <c r="E688" s="135" t="s">
        <v>27</v>
      </c>
      <c r="F688" s="44">
        <v>29.3</v>
      </c>
      <c r="G688" s="67"/>
      <c r="H688" s="44">
        <f t="shared" si="3"/>
        <v>0</v>
      </c>
      <c r="I688" s="45"/>
    </row>
    <row r="689" spans="1:12" s="2" customFormat="1" ht="13.5" customHeight="1">
      <c r="A689" s="134" t="s">
        <v>932</v>
      </c>
      <c r="B689" s="132"/>
      <c r="C689" s="132"/>
      <c r="D689" s="43" t="s">
        <v>698</v>
      </c>
      <c r="E689" s="135" t="s">
        <v>21</v>
      </c>
      <c r="F689" s="44">
        <v>534.70000000000005</v>
      </c>
      <c r="G689" s="67"/>
      <c r="H689" s="44">
        <f t="shared" si="3"/>
        <v>0</v>
      </c>
      <c r="I689" s="45"/>
    </row>
    <row r="690" spans="1:12" s="2" customFormat="1" ht="24" customHeight="1">
      <c r="A690" s="134" t="s">
        <v>933</v>
      </c>
      <c r="B690" s="132"/>
      <c r="C690" s="132"/>
      <c r="D690" s="43" t="s">
        <v>699</v>
      </c>
      <c r="E690" s="135" t="s">
        <v>21</v>
      </c>
      <c r="F690" s="44">
        <v>511.4</v>
      </c>
      <c r="G690" s="67"/>
      <c r="H690" s="44">
        <f t="shared" si="3"/>
        <v>0</v>
      </c>
      <c r="I690" s="45"/>
    </row>
    <row r="691" spans="1:12" s="2" customFormat="1" ht="13.5" customHeight="1">
      <c r="A691" s="134" t="s">
        <v>934</v>
      </c>
      <c r="B691" s="132"/>
      <c r="C691" s="132"/>
      <c r="D691" s="43" t="s">
        <v>698</v>
      </c>
      <c r="E691" s="135" t="s">
        <v>21</v>
      </c>
      <c r="F691" s="44">
        <v>534.70000000000005</v>
      </c>
      <c r="G691" s="67"/>
      <c r="H691" s="44">
        <f t="shared" si="3"/>
        <v>0</v>
      </c>
      <c r="I691" s="45"/>
    </row>
    <row r="692" spans="1:12" s="136" customFormat="1" ht="27" customHeight="1">
      <c r="A692" s="161"/>
      <c r="B692" s="169"/>
      <c r="C692" s="43"/>
      <c r="D692" s="43" t="s">
        <v>448</v>
      </c>
      <c r="E692" s="43"/>
      <c r="F692" s="44"/>
      <c r="G692" s="160"/>
      <c r="H692" s="160"/>
      <c r="I692" s="170"/>
    </row>
    <row r="693" spans="1:12" s="10" customFormat="1" ht="14.25" customHeight="1">
      <c r="A693" s="164"/>
      <c r="B693" s="168"/>
      <c r="C693" s="132"/>
      <c r="D693" s="43" t="s">
        <v>449</v>
      </c>
      <c r="E693" s="132"/>
      <c r="F693" s="165"/>
      <c r="G693" s="166"/>
      <c r="H693" s="155"/>
      <c r="I693" s="11"/>
      <c r="J693" s="9"/>
      <c r="K693" s="9"/>
      <c r="L693" s="9"/>
    </row>
    <row r="694" spans="1:12" s="9" customFormat="1" ht="13.5" customHeight="1">
      <c r="A694" s="158"/>
      <c r="B694" s="131"/>
      <c r="C694" s="130"/>
      <c r="D694" s="43" t="s">
        <v>69</v>
      </c>
      <c r="E694" s="130"/>
      <c r="F694" s="44">
        <v>98.4</v>
      </c>
      <c r="G694" s="155"/>
      <c r="H694" s="155"/>
      <c r="I694" s="42"/>
    </row>
    <row r="695" spans="1:12" s="9" customFormat="1" ht="13.5" customHeight="1">
      <c r="A695" s="158"/>
      <c r="B695" s="131"/>
      <c r="C695" s="130"/>
      <c r="D695" s="43" t="s">
        <v>437</v>
      </c>
      <c r="E695" s="130"/>
      <c r="F695" s="44">
        <v>173.8</v>
      </c>
      <c r="G695" s="155"/>
      <c r="H695" s="155"/>
      <c r="I695" s="42"/>
    </row>
    <row r="696" spans="1:12" s="9" customFormat="1" ht="13.5" customHeight="1">
      <c r="A696" s="158"/>
      <c r="B696" s="131"/>
      <c r="C696" s="130"/>
      <c r="D696" s="43" t="s">
        <v>438</v>
      </c>
      <c r="E696" s="130"/>
      <c r="F696" s="44">
        <v>50</v>
      </c>
      <c r="G696" s="155"/>
      <c r="H696" s="155"/>
      <c r="I696" s="42"/>
    </row>
    <row r="697" spans="1:12" s="9" customFormat="1" ht="13.5" customHeight="1">
      <c r="A697" s="158"/>
      <c r="B697" s="131"/>
      <c r="C697" s="130"/>
      <c r="D697" s="43" t="s">
        <v>453</v>
      </c>
      <c r="E697" s="130"/>
      <c r="F697" s="44">
        <v>142.69999999999999</v>
      </c>
      <c r="G697" s="155"/>
      <c r="H697" s="155"/>
      <c r="I697" s="42"/>
    </row>
    <row r="698" spans="1:12" s="2" customFormat="1" ht="13.5" customHeight="1">
      <c r="A698" s="158">
        <v>161</v>
      </c>
      <c r="B698" s="131" t="s">
        <v>446</v>
      </c>
      <c r="C698" s="130" t="s">
        <v>447</v>
      </c>
      <c r="D698" s="130" t="s">
        <v>455</v>
      </c>
      <c r="E698" s="130" t="s">
        <v>21</v>
      </c>
      <c r="F698" s="159">
        <f>F709</f>
        <v>50</v>
      </c>
      <c r="G698" s="167">
        <f>SUM(H700:H706)/F698</f>
        <v>0</v>
      </c>
      <c r="H698" s="155">
        <f>G698*F698</f>
        <v>0</v>
      </c>
      <c r="I698" s="42" t="s">
        <v>109</v>
      </c>
    </row>
    <row r="699" spans="1:12" s="133" customFormat="1" ht="13.5" customHeight="1">
      <c r="A699" s="161"/>
      <c r="B699" s="169"/>
      <c r="C699" s="43"/>
      <c r="D699" s="43" t="s">
        <v>310</v>
      </c>
      <c r="E699" s="43"/>
      <c r="F699" s="44"/>
      <c r="G699" s="160"/>
      <c r="H699" s="160"/>
      <c r="I699" s="170"/>
    </row>
    <row r="700" spans="1:12" s="9" customFormat="1" ht="13.5" customHeight="1">
      <c r="A700" s="134" t="s">
        <v>935</v>
      </c>
      <c r="B700" s="131"/>
      <c r="C700" s="130"/>
      <c r="D700" s="43" t="s">
        <v>617</v>
      </c>
      <c r="E700" s="135" t="s">
        <v>21</v>
      </c>
      <c r="F700" s="44">
        <v>55</v>
      </c>
      <c r="G700" s="67"/>
      <c r="H700" s="44">
        <f t="shared" ref="H700:H706" si="4">F700*G700</f>
        <v>0</v>
      </c>
      <c r="I700" s="42"/>
    </row>
    <row r="701" spans="1:12" s="2" customFormat="1" ht="13.5" customHeight="1">
      <c r="A701" s="134" t="s">
        <v>936</v>
      </c>
      <c r="B701" s="132"/>
      <c r="C701" s="132"/>
      <c r="D701" s="43" t="s">
        <v>618</v>
      </c>
      <c r="E701" s="135" t="s">
        <v>21</v>
      </c>
      <c r="F701" s="44">
        <v>55</v>
      </c>
      <c r="G701" s="67"/>
      <c r="H701" s="44">
        <f t="shared" si="4"/>
        <v>0</v>
      </c>
      <c r="I701" s="45"/>
    </row>
    <row r="702" spans="1:12" s="2" customFormat="1" ht="27.75" customHeight="1">
      <c r="A702" s="134" t="s">
        <v>937</v>
      </c>
      <c r="B702" s="132"/>
      <c r="C702" s="132"/>
      <c r="D702" s="43" t="s">
        <v>619</v>
      </c>
      <c r="E702" s="135" t="s">
        <v>27</v>
      </c>
      <c r="F702" s="44">
        <v>3.2</v>
      </c>
      <c r="G702" s="67"/>
      <c r="H702" s="44">
        <f t="shared" si="4"/>
        <v>0</v>
      </c>
      <c r="I702" s="45"/>
    </row>
    <row r="703" spans="1:12" s="2" customFormat="1" ht="13.5" customHeight="1">
      <c r="A703" s="134" t="s">
        <v>938</v>
      </c>
      <c r="B703" s="132"/>
      <c r="C703" s="132"/>
      <c r="D703" s="43" t="s">
        <v>620</v>
      </c>
      <c r="E703" s="135" t="s">
        <v>21</v>
      </c>
      <c r="F703" s="44">
        <v>57.5</v>
      </c>
      <c r="G703" s="67"/>
      <c r="H703" s="44">
        <f t="shared" si="4"/>
        <v>0</v>
      </c>
      <c r="I703" s="45"/>
    </row>
    <row r="704" spans="1:12" s="2" customFormat="1" ht="31.5" customHeight="1">
      <c r="A704" s="134" t="s">
        <v>939</v>
      </c>
      <c r="B704" s="132"/>
      <c r="C704" s="132"/>
      <c r="D704" s="43" t="s">
        <v>621</v>
      </c>
      <c r="E704" s="135" t="s">
        <v>21</v>
      </c>
      <c r="F704" s="44">
        <v>55</v>
      </c>
      <c r="G704" s="67"/>
      <c r="H704" s="44">
        <f t="shared" si="4"/>
        <v>0</v>
      </c>
      <c r="I704" s="45"/>
    </row>
    <row r="705" spans="1:12" s="2" customFormat="1" ht="13.5" customHeight="1">
      <c r="A705" s="134" t="s">
        <v>993</v>
      </c>
      <c r="B705" s="132"/>
      <c r="C705" s="132"/>
      <c r="D705" s="43" t="s">
        <v>620</v>
      </c>
      <c r="E705" s="135" t="s">
        <v>21</v>
      </c>
      <c r="F705" s="44">
        <v>57.5</v>
      </c>
      <c r="G705" s="67"/>
      <c r="H705" s="44">
        <f t="shared" si="4"/>
        <v>0</v>
      </c>
      <c r="I705" s="45"/>
    </row>
    <row r="706" spans="1:12" s="2" customFormat="1" ht="30" customHeight="1">
      <c r="A706" s="134" t="s">
        <v>994</v>
      </c>
      <c r="B706" s="132"/>
      <c r="C706" s="132"/>
      <c r="D706" s="43" t="s">
        <v>859</v>
      </c>
      <c r="E706" s="135" t="s">
        <v>27</v>
      </c>
      <c r="F706" s="44">
        <v>16.5</v>
      </c>
      <c r="G706" s="67"/>
      <c r="H706" s="44">
        <f t="shared" si="4"/>
        <v>0</v>
      </c>
      <c r="I706" s="45"/>
    </row>
    <row r="707" spans="1:12" s="136" customFormat="1" ht="27" customHeight="1">
      <c r="A707" s="161"/>
      <c r="B707" s="169"/>
      <c r="C707" s="43"/>
      <c r="D707" s="43" t="s">
        <v>448</v>
      </c>
      <c r="E707" s="43"/>
      <c r="F707" s="44"/>
      <c r="G707" s="160"/>
      <c r="H707" s="160"/>
      <c r="I707" s="170"/>
    </row>
    <row r="708" spans="1:12" s="10" customFormat="1" ht="14.25" customHeight="1">
      <c r="A708" s="164"/>
      <c r="B708" s="168"/>
      <c r="C708" s="132"/>
      <c r="D708" s="43" t="s">
        <v>449</v>
      </c>
      <c r="E708" s="132"/>
      <c r="F708" s="165"/>
      <c r="G708" s="166"/>
      <c r="H708" s="155"/>
      <c r="I708" s="11"/>
      <c r="J708" s="9"/>
      <c r="K708" s="9"/>
      <c r="L708" s="9"/>
    </row>
    <row r="709" spans="1:12" s="9" customFormat="1" ht="13.5" customHeight="1">
      <c r="A709" s="158"/>
      <c r="B709" s="131"/>
      <c r="C709" s="130"/>
      <c r="D709" s="43" t="s">
        <v>69</v>
      </c>
      <c r="E709" s="130"/>
      <c r="F709" s="44">
        <v>50</v>
      </c>
      <c r="G709" s="155"/>
      <c r="H709" s="155"/>
      <c r="I709" s="42"/>
    </row>
    <row r="710" spans="1:12" s="2" customFormat="1" ht="29.25" customHeight="1">
      <c r="A710" s="158">
        <v>162</v>
      </c>
      <c r="B710" s="130">
        <v>776</v>
      </c>
      <c r="C710" s="130" t="s">
        <v>496</v>
      </c>
      <c r="D710" s="130" t="s">
        <v>469</v>
      </c>
      <c r="E710" s="130" t="s">
        <v>21</v>
      </c>
      <c r="F710" s="159">
        <f>F719+F720</f>
        <v>104.30000000000001</v>
      </c>
      <c r="G710" s="167">
        <f>SUM(H712:H716)/F710</f>
        <v>0</v>
      </c>
      <c r="H710" s="155">
        <f>G710*F710</f>
        <v>0</v>
      </c>
      <c r="I710" s="42" t="s">
        <v>109</v>
      </c>
    </row>
    <row r="711" spans="1:12" s="133" customFormat="1" ht="13.5" customHeight="1">
      <c r="A711" s="161"/>
      <c r="B711" s="169"/>
      <c r="C711" s="43"/>
      <c r="D711" s="43" t="s">
        <v>310</v>
      </c>
      <c r="E711" s="43"/>
      <c r="F711" s="44"/>
      <c r="G711" s="160"/>
      <c r="H711" s="160"/>
      <c r="I711" s="170"/>
    </row>
    <row r="712" spans="1:12" s="9" customFormat="1" ht="13.5" customHeight="1">
      <c r="A712" s="134" t="s">
        <v>995</v>
      </c>
      <c r="B712" s="131"/>
      <c r="C712" s="130"/>
      <c r="D712" s="43" t="s">
        <v>700</v>
      </c>
      <c r="E712" s="135" t="s">
        <v>21</v>
      </c>
      <c r="F712" s="44">
        <v>114.8</v>
      </c>
      <c r="G712" s="67"/>
      <c r="H712" s="44">
        <f>F712*G712</f>
        <v>0</v>
      </c>
      <c r="I712" s="42"/>
    </row>
    <row r="713" spans="1:12" s="2" customFormat="1" ht="13.5" customHeight="1">
      <c r="A713" s="134" t="s">
        <v>996</v>
      </c>
      <c r="B713" s="132"/>
      <c r="C713" s="132"/>
      <c r="D713" s="43" t="s">
        <v>701</v>
      </c>
      <c r="E713" s="135" t="s">
        <v>21</v>
      </c>
      <c r="F713" s="44">
        <v>114.8</v>
      </c>
      <c r="G713" s="67"/>
      <c r="H713" s="44">
        <f>F713*G713</f>
        <v>0</v>
      </c>
      <c r="I713" s="45"/>
    </row>
    <row r="714" spans="1:12" s="2" customFormat="1" ht="13.5" customHeight="1">
      <c r="A714" s="134" t="s">
        <v>997</v>
      </c>
      <c r="B714" s="132"/>
      <c r="C714" s="132"/>
      <c r="D714" s="43" t="s">
        <v>702</v>
      </c>
      <c r="E714" s="135" t="s">
        <v>21</v>
      </c>
      <c r="F714" s="44">
        <v>120</v>
      </c>
      <c r="G714" s="67"/>
      <c r="H714" s="44">
        <f>F714*G714</f>
        <v>0</v>
      </c>
      <c r="I714" s="45"/>
    </row>
    <row r="715" spans="1:12" s="2" customFormat="1" ht="31.5" customHeight="1">
      <c r="A715" s="134" t="s">
        <v>998</v>
      </c>
      <c r="B715" s="132"/>
      <c r="C715" s="132"/>
      <c r="D715" s="43" t="s">
        <v>703</v>
      </c>
      <c r="E715" s="135" t="s">
        <v>21</v>
      </c>
      <c r="F715" s="44">
        <v>114.8</v>
      </c>
      <c r="G715" s="67"/>
      <c r="H715" s="44">
        <f>F715*G715</f>
        <v>0</v>
      </c>
      <c r="I715" s="45"/>
    </row>
    <row r="716" spans="1:12" s="2" customFormat="1" ht="13.5" customHeight="1">
      <c r="A716" s="134" t="s">
        <v>999</v>
      </c>
      <c r="B716" s="132"/>
      <c r="C716" s="132"/>
      <c r="D716" s="43" t="s">
        <v>702</v>
      </c>
      <c r="E716" s="135" t="s">
        <v>21</v>
      </c>
      <c r="F716" s="44">
        <v>120</v>
      </c>
      <c r="G716" s="67"/>
      <c r="H716" s="44">
        <f>F716*G716</f>
        <v>0</v>
      </c>
      <c r="I716" s="45"/>
    </row>
    <row r="717" spans="1:12" s="136" customFormat="1" ht="27.75" customHeight="1">
      <c r="A717" s="161"/>
      <c r="B717" s="169"/>
      <c r="C717" s="43"/>
      <c r="D717" s="43" t="s">
        <v>448</v>
      </c>
      <c r="E717" s="43"/>
      <c r="F717" s="44"/>
      <c r="G717" s="160"/>
      <c r="H717" s="160"/>
      <c r="I717" s="170"/>
    </row>
    <row r="718" spans="1:12" s="10" customFormat="1" ht="14.25" customHeight="1">
      <c r="A718" s="164"/>
      <c r="B718" s="168"/>
      <c r="C718" s="132"/>
      <c r="D718" s="43" t="s">
        <v>449</v>
      </c>
      <c r="E718" s="132"/>
      <c r="F718" s="165"/>
      <c r="G718" s="166"/>
      <c r="H718" s="155"/>
      <c r="I718" s="11"/>
      <c r="J718" s="9"/>
      <c r="K718" s="9"/>
      <c r="L718" s="9"/>
    </row>
    <row r="719" spans="1:12" s="9" customFormat="1" ht="13.5" customHeight="1">
      <c r="A719" s="158"/>
      <c r="B719" s="131"/>
      <c r="C719" s="130"/>
      <c r="D719" s="43" t="s">
        <v>438</v>
      </c>
      <c r="E719" s="130"/>
      <c r="F719" s="44">
        <v>40.700000000000003</v>
      </c>
      <c r="G719" s="155"/>
      <c r="H719" s="155"/>
      <c r="I719" s="42"/>
    </row>
    <row r="720" spans="1:12" s="9" customFormat="1" ht="13.5" customHeight="1">
      <c r="A720" s="158"/>
      <c r="B720" s="131"/>
      <c r="C720" s="130"/>
      <c r="D720" s="43" t="s">
        <v>453</v>
      </c>
      <c r="E720" s="130"/>
      <c r="F720" s="44">
        <v>63.6</v>
      </c>
      <c r="G720" s="155"/>
      <c r="H720" s="155"/>
      <c r="I720" s="42"/>
    </row>
    <row r="721" spans="1:9" s="2" customFormat="1" ht="13.5" customHeight="1">
      <c r="A721" s="158">
        <v>163</v>
      </c>
      <c r="B721" s="131" t="s">
        <v>446</v>
      </c>
      <c r="C721" s="130" t="s">
        <v>856</v>
      </c>
      <c r="D721" s="130" t="s">
        <v>445</v>
      </c>
      <c r="E721" s="130" t="s">
        <v>21</v>
      </c>
      <c r="F721" s="159">
        <f>F722</f>
        <v>619.20000000000005</v>
      </c>
      <c r="G721" s="155"/>
      <c r="H721" s="155">
        <f>F721*G721</f>
        <v>0</v>
      </c>
      <c r="I721" s="42" t="s">
        <v>109</v>
      </c>
    </row>
    <row r="722" spans="1:9" s="9" customFormat="1" ht="27" customHeight="1">
      <c r="A722" s="158"/>
      <c r="B722" s="131"/>
      <c r="C722" s="130"/>
      <c r="D722" s="43" t="s">
        <v>313</v>
      </c>
      <c r="E722" s="130"/>
      <c r="F722" s="44">
        <f>F710+F698+F684</f>
        <v>619.20000000000005</v>
      </c>
      <c r="G722" s="155"/>
      <c r="H722" s="155"/>
      <c r="I722" s="42"/>
    </row>
    <row r="723" spans="1:9" s="2" customFormat="1" ht="13.5" customHeight="1">
      <c r="A723" s="158">
        <v>164</v>
      </c>
      <c r="B723" s="131" t="s">
        <v>446</v>
      </c>
      <c r="C723" s="130">
        <v>998776204</v>
      </c>
      <c r="D723" s="130" t="s">
        <v>443</v>
      </c>
      <c r="E723" s="130" t="s">
        <v>42</v>
      </c>
      <c r="F723" s="159">
        <v>0.41</v>
      </c>
      <c r="G723" s="155"/>
      <c r="H723" s="155">
        <f>F723*G723</f>
        <v>0</v>
      </c>
      <c r="I723" s="42" t="s">
        <v>105</v>
      </c>
    </row>
    <row r="724" spans="1:9" s="10" customFormat="1" ht="13.5" customHeight="1">
      <c r="A724" s="158">
        <v>165</v>
      </c>
      <c r="B724" s="131" t="s">
        <v>446</v>
      </c>
      <c r="C724" s="130" t="s">
        <v>66</v>
      </c>
      <c r="D724" s="130" t="s">
        <v>67</v>
      </c>
      <c r="E724" s="130" t="s">
        <v>28</v>
      </c>
      <c r="F724" s="159">
        <f>F725</f>
        <v>40</v>
      </c>
      <c r="G724" s="155"/>
      <c r="H724" s="155">
        <f>F724*G724</f>
        <v>0</v>
      </c>
      <c r="I724" s="42" t="s">
        <v>105</v>
      </c>
    </row>
    <row r="725" spans="1:9" s="2" customFormat="1" ht="13.5" customHeight="1">
      <c r="A725" s="164"/>
      <c r="B725" s="132"/>
      <c r="C725" s="132"/>
      <c r="D725" s="43" t="s">
        <v>444</v>
      </c>
      <c r="E725" s="132"/>
      <c r="F725" s="44">
        <v>40</v>
      </c>
      <c r="G725" s="166"/>
      <c r="H725" s="155"/>
      <c r="I725" s="45"/>
    </row>
    <row r="726" spans="1:9" s="2" customFormat="1" ht="24.75" customHeight="1">
      <c r="A726" s="164"/>
      <c r="B726" s="132"/>
      <c r="C726" s="132"/>
      <c r="D726" s="43" t="s">
        <v>308</v>
      </c>
      <c r="E726" s="132"/>
      <c r="F726" s="44"/>
      <c r="G726" s="166"/>
      <c r="H726" s="155"/>
      <c r="I726" s="45"/>
    </row>
    <row r="727" spans="1:9" s="2" customFormat="1" ht="13.5" customHeight="1">
      <c r="A727" s="5"/>
      <c r="B727" s="6"/>
      <c r="C727" s="6">
        <v>777</v>
      </c>
      <c r="D727" s="6" t="s">
        <v>304</v>
      </c>
      <c r="E727" s="6"/>
      <c r="F727" s="7"/>
      <c r="G727" s="8"/>
      <c r="H727" s="8">
        <f>SUM(H728:H729)+H734+H744+H754+H765+SUM(H773:H780)</f>
        <v>0</v>
      </c>
      <c r="I727" s="45"/>
    </row>
    <row r="728" spans="1:9" s="2" customFormat="1" ht="13.5" customHeight="1">
      <c r="A728" s="158">
        <v>166</v>
      </c>
      <c r="B728" s="130" t="s">
        <v>306</v>
      </c>
      <c r="C728" s="130" t="s">
        <v>312</v>
      </c>
      <c r="D728" s="130" t="s">
        <v>538</v>
      </c>
      <c r="E728" s="130" t="s">
        <v>21</v>
      </c>
      <c r="F728" s="159">
        <f>F733</f>
        <v>232.1</v>
      </c>
      <c r="G728" s="167">
        <f>SUM(H730:H731)/F728</f>
        <v>0</v>
      </c>
      <c r="H728" s="155">
        <f>G728*F728</f>
        <v>0</v>
      </c>
      <c r="I728" s="42" t="s">
        <v>109</v>
      </c>
    </row>
    <row r="729" spans="1:9" s="133" customFormat="1" ht="13.5" customHeight="1">
      <c r="A729" s="161"/>
      <c r="B729" s="169"/>
      <c r="C729" s="43"/>
      <c r="D729" s="43" t="s">
        <v>310</v>
      </c>
      <c r="E729" s="43"/>
      <c r="F729" s="44"/>
      <c r="G729" s="160"/>
      <c r="H729" s="160"/>
      <c r="I729" s="170"/>
    </row>
    <row r="730" spans="1:9" s="9" customFormat="1" ht="27.75" customHeight="1">
      <c r="A730" s="134" t="s">
        <v>940</v>
      </c>
      <c r="B730" s="131"/>
      <c r="C730" s="130"/>
      <c r="D730" s="43" t="s">
        <v>510</v>
      </c>
      <c r="E730" s="135" t="s">
        <v>21</v>
      </c>
      <c r="F730" s="44">
        <v>255.3</v>
      </c>
      <c r="G730" s="67"/>
      <c r="H730" s="44">
        <f>F730*G730</f>
        <v>0</v>
      </c>
      <c r="I730" s="42"/>
    </row>
    <row r="731" spans="1:9" s="2" customFormat="1" ht="13.5" customHeight="1">
      <c r="A731" s="134" t="s">
        <v>941</v>
      </c>
      <c r="B731" s="132"/>
      <c r="C731" s="132"/>
      <c r="D731" s="43" t="s">
        <v>511</v>
      </c>
      <c r="E731" s="135" t="s">
        <v>21</v>
      </c>
      <c r="F731" s="44">
        <v>255.3</v>
      </c>
      <c r="G731" s="67"/>
      <c r="H731" s="44">
        <f>F731*G731</f>
        <v>0</v>
      </c>
      <c r="I731" s="45"/>
    </row>
    <row r="732" spans="1:9" s="136" customFormat="1" ht="24.75" customHeight="1">
      <c r="A732" s="161"/>
      <c r="B732" s="169"/>
      <c r="C732" s="43"/>
      <c r="D732" s="43" t="s">
        <v>311</v>
      </c>
      <c r="E732" s="43"/>
      <c r="F732" s="44"/>
      <c r="G732" s="160"/>
      <c r="H732" s="160"/>
      <c r="I732" s="170"/>
    </row>
    <row r="733" spans="1:9" s="9" customFormat="1" ht="13.5" customHeight="1">
      <c r="A733" s="158"/>
      <c r="B733" s="131"/>
      <c r="C733" s="130"/>
      <c r="D733" s="43" t="s">
        <v>110</v>
      </c>
      <c r="E733" s="130"/>
      <c r="F733" s="44">
        <v>232.1</v>
      </c>
      <c r="G733" s="155"/>
      <c r="H733" s="155"/>
      <c r="I733" s="42"/>
    </row>
    <row r="734" spans="1:9" s="2" customFormat="1" ht="13.5" customHeight="1">
      <c r="A734" s="158">
        <v>167</v>
      </c>
      <c r="B734" s="130" t="s">
        <v>306</v>
      </c>
      <c r="C734" s="130" t="s">
        <v>436</v>
      </c>
      <c r="D734" s="130" t="s">
        <v>537</v>
      </c>
      <c r="E734" s="130" t="s">
        <v>21</v>
      </c>
      <c r="F734" s="159">
        <f>F741+F742+F743</f>
        <v>1510.5</v>
      </c>
      <c r="G734" s="167">
        <f>SUM(H736:H739)/F734</f>
        <v>0</v>
      </c>
      <c r="H734" s="155">
        <f>G734*F734</f>
        <v>0</v>
      </c>
      <c r="I734" s="42" t="s">
        <v>109</v>
      </c>
    </row>
    <row r="735" spans="1:9" s="133" customFormat="1" ht="13.5" customHeight="1">
      <c r="A735" s="161"/>
      <c r="B735" s="169"/>
      <c r="C735" s="43"/>
      <c r="D735" s="43" t="s">
        <v>310</v>
      </c>
      <c r="E735" s="43"/>
      <c r="F735" s="44"/>
      <c r="G735" s="160"/>
      <c r="H735" s="160"/>
      <c r="I735" s="170"/>
    </row>
    <row r="736" spans="1:9" s="9" customFormat="1" ht="27.75" customHeight="1">
      <c r="A736" s="134" t="s">
        <v>942</v>
      </c>
      <c r="B736" s="131"/>
      <c r="C736" s="130"/>
      <c r="D736" s="43" t="s">
        <v>862</v>
      </c>
      <c r="E736" s="135" t="s">
        <v>21</v>
      </c>
      <c r="F736" s="44">
        <v>1661.6</v>
      </c>
      <c r="G736" s="67"/>
      <c r="H736" s="44">
        <f t="shared" ref="H736:H739" si="5">F736*G736</f>
        <v>0</v>
      </c>
      <c r="I736" s="42"/>
    </row>
    <row r="737" spans="1:9" s="2" customFormat="1" ht="13.5" customHeight="1">
      <c r="A737" s="134" t="s">
        <v>943</v>
      </c>
      <c r="B737" s="132"/>
      <c r="C737" s="132"/>
      <c r="D737" s="43" t="s">
        <v>863</v>
      </c>
      <c r="E737" s="135" t="s">
        <v>21</v>
      </c>
      <c r="F737" s="44">
        <v>1661.6</v>
      </c>
      <c r="G737" s="67"/>
      <c r="H737" s="44">
        <f t="shared" si="5"/>
        <v>0</v>
      </c>
      <c r="I737" s="45"/>
    </row>
    <row r="738" spans="1:9" s="2" customFormat="1" ht="27.75" customHeight="1">
      <c r="A738" s="134" t="s">
        <v>944</v>
      </c>
      <c r="B738" s="132"/>
      <c r="C738" s="132"/>
      <c r="D738" s="43" t="s">
        <v>864</v>
      </c>
      <c r="E738" s="135" t="s">
        <v>27</v>
      </c>
      <c r="F738" s="44">
        <v>95.2</v>
      </c>
      <c r="G738" s="67"/>
      <c r="H738" s="44">
        <f t="shared" si="5"/>
        <v>0</v>
      </c>
      <c r="I738" s="45"/>
    </row>
    <row r="739" spans="1:9" s="2" customFormat="1" ht="13.5" customHeight="1">
      <c r="A739" s="134" t="s">
        <v>945</v>
      </c>
      <c r="B739" s="132"/>
      <c r="C739" s="132"/>
      <c r="D739" s="43" t="s">
        <v>865</v>
      </c>
      <c r="E739" s="135" t="s">
        <v>21</v>
      </c>
      <c r="F739" s="44">
        <v>1737.1</v>
      </c>
      <c r="G739" s="67"/>
      <c r="H739" s="44">
        <f t="shared" si="5"/>
        <v>0</v>
      </c>
      <c r="I739" s="45"/>
    </row>
    <row r="740" spans="1:9" s="136" customFormat="1" ht="24.75" customHeight="1">
      <c r="A740" s="161"/>
      <c r="B740" s="169"/>
      <c r="C740" s="43"/>
      <c r="D740" s="43" t="s">
        <v>311</v>
      </c>
      <c r="E740" s="43"/>
      <c r="F740" s="44"/>
      <c r="G740" s="160"/>
      <c r="H740" s="160"/>
      <c r="I740" s="170"/>
    </row>
    <row r="741" spans="1:9" s="9" customFormat="1" ht="13.5" customHeight="1">
      <c r="A741" s="158"/>
      <c r="B741" s="131"/>
      <c r="C741" s="130"/>
      <c r="D741" s="43" t="s">
        <v>69</v>
      </c>
      <c r="E741" s="130"/>
      <c r="F741" s="44">
        <v>44.5</v>
      </c>
      <c r="G741" s="155"/>
      <c r="H741" s="155"/>
      <c r="I741" s="42"/>
    </row>
    <row r="742" spans="1:9" s="9" customFormat="1" ht="13.5" customHeight="1">
      <c r="A742" s="158"/>
      <c r="B742" s="131"/>
      <c r="C742" s="130"/>
      <c r="D742" s="43" t="s">
        <v>437</v>
      </c>
      <c r="E742" s="130"/>
      <c r="F742" s="44">
        <v>828.5</v>
      </c>
      <c r="G742" s="155"/>
      <c r="H742" s="155"/>
      <c r="I742" s="42"/>
    </row>
    <row r="743" spans="1:9" s="9" customFormat="1" ht="13.5" customHeight="1">
      <c r="A743" s="158"/>
      <c r="B743" s="131"/>
      <c r="C743" s="130"/>
      <c r="D743" s="43" t="s">
        <v>438</v>
      </c>
      <c r="E743" s="130"/>
      <c r="F743" s="44">
        <v>637.5</v>
      </c>
      <c r="G743" s="155"/>
      <c r="H743" s="155"/>
      <c r="I743" s="42"/>
    </row>
    <row r="744" spans="1:9" s="2" customFormat="1" ht="28.5" customHeight="1">
      <c r="A744" s="158">
        <v>168</v>
      </c>
      <c r="B744" s="130" t="s">
        <v>306</v>
      </c>
      <c r="C744" s="130" t="s">
        <v>450</v>
      </c>
      <c r="D744" s="130" t="s">
        <v>536</v>
      </c>
      <c r="E744" s="130" t="s">
        <v>21</v>
      </c>
      <c r="F744" s="159">
        <f>F751+F752+F753</f>
        <v>1000.8</v>
      </c>
      <c r="G744" s="167">
        <f>SUM(H746:H749)/F744</f>
        <v>0</v>
      </c>
      <c r="H744" s="155">
        <f>G744*F744</f>
        <v>0</v>
      </c>
      <c r="I744" s="42" t="s">
        <v>109</v>
      </c>
    </row>
    <row r="745" spans="1:9" s="133" customFormat="1" ht="13.5" customHeight="1">
      <c r="A745" s="161"/>
      <c r="B745" s="169"/>
      <c r="C745" s="43"/>
      <c r="D745" s="43" t="s">
        <v>310</v>
      </c>
      <c r="E745" s="43"/>
      <c r="F745" s="44"/>
      <c r="G745" s="160"/>
      <c r="H745" s="160"/>
      <c r="I745" s="170"/>
    </row>
    <row r="746" spans="1:9" s="9" customFormat="1" ht="27.75" customHeight="1">
      <c r="A746" s="134" t="s">
        <v>946</v>
      </c>
      <c r="B746" s="131"/>
      <c r="C746" s="130"/>
      <c r="D746" s="43" t="s">
        <v>642</v>
      </c>
      <c r="E746" s="135" t="s">
        <v>21</v>
      </c>
      <c r="F746" s="44">
        <v>1100.9000000000001</v>
      </c>
      <c r="G746" s="67"/>
      <c r="H746" s="44">
        <f t="shared" ref="H746:H749" si="6">F746*G746</f>
        <v>0</v>
      </c>
      <c r="I746" s="42"/>
    </row>
    <row r="747" spans="1:9" s="2" customFormat="1" ht="13.5" customHeight="1">
      <c r="A747" s="134" t="s">
        <v>947</v>
      </c>
      <c r="B747" s="132"/>
      <c r="C747" s="132"/>
      <c r="D747" s="43" t="s">
        <v>643</v>
      </c>
      <c r="E747" s="135" t="s">
        <v>21</v>
      </c>
      <c r="F747" s="44">
        <v>1100.9000000000001</v>
      </c>
      <c r="G747" s="67"/>
      <c r="H747" s="44">
        <f t="shared" si="6"/>
        <v>0</v>
      </c>
      <c r="I747" s="45"/>
    </row>
    <row r="748" spans="1:9" s="2" customFormat="1" ht="27.75" customHeight="1">
      <c r="A748" s="134" t="s">
        <v>948</v>
      </c>
      <c r="B748" s="132"/>
      <c r="C748" s="132"/>
      <c r="D748" s="43" t="s">
        <v>644</v>
      </c>
      <c r="E748" s="135" t="s">
        <v>27</v>
      </c>
      <c r="F748" s="44">
        <v>63.1</v>
      </c>
      <c r="G748" s="67"/>
      <c r="H748" s="44">
        <f t="shared" si="6"/>
        <v>0</v>
      </c>
      <c r="I748" s="45"/>
    </row>
    <row r="749" spans="1:9" s="2" customFormat="1" ht="24.75" customHeight="1">
      <c r="A749" s="134" t="s">
        <v>949</v>
      </c>
      <c r="B749" s="132"/>
      <c r="C749" s="132"/>
      <c r="D749" s="43" t="s">
        <v>859</v>
      </c>
      <c r="E749" s="135" t="s">
        <v>27</v>
      </c>
      <c r="F749" s="44">
        <v>330.3</v>
      </c>
      <c r="G749" s="67"/>
      <c r="H749" s="44">
        <f t="shared" si="6"/>
        <v>0</v>
      </c>
      <c r="I749" s="45"/>
    </row>
    <row r="750" spans="1:9" s="136" customFormat="1" ht="24.75" customHeight="1">
      <c r="A750" s="161"/>
      <c r="B750" s="169"/>
      <c r="C750" s="43"/>
      <c r="D750" s="43" t="s">
        <v>311</v>
      </c>
      <c r="E750" s="43"/>
      <c r="F750" s="44"/>
      <c r="G750" s="160"/>
      <c r="H750" s="160"/>
      <c r="I750" s="170"/>
    </row>
    <row r="751" spans="1:9" s="9" customFormat="1" ht="13.5" customHeight="1">
      <c r="A751" s="158"/>
      <c r="B751" s="131"/>
      <c r="C751" s="130"/>
      <c r="D751" s="43" t="s">
        <v>69</v>
      </c>
      <c r="E751" s="130"/>
      <c r="F751" s="44">
        <v>432.9</v>
      </c>
      <c r="G751" s="155"/>
      <c r="H751" s="155"/>
      <c r="I751" s="42"/>
    </row>
    <row r="752" spans="1:9" s="9" customFormat="1" ht="13.5" customHeight="1">
      <c r="A752" s="158"/>
      <c r="B752" s="131"/>
      <c r="C752" s="130"/>
      <c r="D752" s="43" t="s">
        <v>437</v>
      </c>
      <c r="E752" s="130"/>
      <c r="F752" s="44">
        <v>121.1</v>
      </c>
      <c r="G752" s="155"/>
      <c r="H752" s="155"/>
      <c r="I752" s="42"/>
    </row>
    <row r="753" spans="1:9" s="9" customFormat="1" ht="13.5" customHeight="1">
      <c r="A753" s="158"/>
      <c r="B753" s="131"/>
      <c r="C753" s="130"/>
      <c r="D753" s="43" t="s">
        <v>438</v>
      </c>
      <c r="E753" s="130"/>
      <c r="F753" s="44">
        <v>446.8</v>
      </c>
      <c r="G753" s="155"/>
      <c r="H753" s="155"/>
      <c r="I753" s="42"/>
    </row>
    <row r="754" spans="1:9" s="2" customFormat="1" ht="29.25" customHeight="1">
      <c r="A754" s="158">
        <v>169</v>
      </c>
      <c r="B754" s="130">
        <v>771</v>
      </c>
      <c r="C754" s="130" t="s">
        <v>459</v>
      </c>
      <c r="D754" s="130" t="s">
        <v>535</v>
      </c>
      <c r="E754" s="130" t="s">
        <v>21</v>
      </c>
      <c r="F754" s="159">
        <f>F762+F763+F764</f>
        <v>87.199999999999989</v>
      </c>
      <c r="G754" s="167">
        <f>SUM(H756:H760)/F754</f>
        <v>0</v>
      </c>
      <c r="H754" s="155">
        <f>G754*F754</f>
        <v>0</v>
      </c>
      <c r="I754" s="42" t="s">
        <v>109</v>
      </c>
    </row>
    <row r="755" spans="1:9" s="133" customFormat="1" ht="13.5" customHeight="1">
      <c r="A755" s="161"/>
      <c r="B755" s="169"/>
      <c r="C755" s="43"/>
      <c r="D755" s="43" t="s">
        <v>310</v>
      </c>
      <c r="E755" s="43"/>
      <c r="F755" s="44"/>
      <c r="G755" s="160"/>
      <c r="H755" s="160"/>
      <c r="I755" s="170"/>
    </row>
    <row r="756" spans="1:9" s="9" customFormat="1" ht="28.5" customHeight="1">
      <c r="A756" s="134" t="s">
        <v>950</v>
      </c>
      <c r="B756" s="131"/>
      <c r="C756" s="130"/>
      <c r="D756" s="43" t="s">
        <v>704</v>
      </c>
      <c r="E756" s="135" t="s">
        <v>21</v>
      </c>
      <c r="F756" s="44">
        <v>96</v>
      </c>
      <c r="G756" s="67"/>
      <c r="H756" s="44">
        <f>F756*G756</f>
        <v>0</v>
      </c>
      <c r="I756" s="42"/>
    </row>
    <row r="757" spans="1:9" s="2" customFormat="1" ht="13.5" customHeight="1">
      <c r="A757" s="134" t="s">
        <v>951</v>
      </c>
      <c r="B757" s="132"/>
      <c r="C757" s="132"/>
      <c r="D757" s="43" t="s">
        <v>705</v>
      </c>
      <c r="E757" s="135" t="s">
        <v>21</v>
      </c>
      <c r="F757" s="44">
        <v>96</v>
      </c>
      <c r="G757" s="67"/>
      <c r="H757" s="44">
        <f>F757*G757</f>
        <v>0</v>
      </c>
      <c r="I757" s="45"/>
    </row>
    <row r="758" spans="1:9" s="2" customFormat="1" ht="13.5" customHeight="1">
      <c r="A758" s="134" t="s">
        <v>952</v>
      </c>
      <c r="B758" s="132"/>
      <c r="C758" s="132"/>
      <c r="D758" s="43" t="s">
        <v>706</v>
      </c>
      <c r="E758" s="135" t="s">
        <v>21</v>
      </c>
      <c r="F758" s="44">
        <v>100.3</v>
      </c>
      <c r="G758" s="67"/>
      <c r="H758" s="44">
        <f>F758*G758</f>
        <v>0</v>
      </c>
      <c r="I758" s="45"/>
    </row>
    <row r="759" spans="1:9" s="2" customFormat="1" ht="31.5" customHeight="1">
      <c r="A759" s="134" t="s">
        <v>953</v>
      </c>
      <c r="B759" s="132"/>
      <c r="C759" s="132"/>
      <c r="D759" s="43" t="s">
        <v>707</v>
      </c>
      <c r="E759" s="135" t="s">
        <v>21</v>
      </c>
      <c r="F759" s="44">
        <v>96</v>
      </c>
      <c r="G759" s="67"/>
      <c r="H759" s="44">
        <f>F759*G759</f>
        <v>0</v>
      </c>
      <c r="I759" s="45"/>
    </row>
    <row r="760" spans="1:9" s="2" customFormat="1" ht="13.5" customHeight="1">
      <c r="A760" s="134" t="s">
        <v>954</v>
      </c>
      <c r="B760" s="132"/>
      <c r="C760" s="132"/>
      <c r="D760" s="43" t="s">
        <v>706</v>
      </c>
      <c r="E760" s="135" t="s">
        <v>21</v>
      </c>
      <c r="F760" s="44">
        <v>100.3</v>
      </c>
      <c r="G760" s="67"/>
      <c r="H760" s="44">
        <f>F760*G760</f>
        <v>0</v>
      </c>
      <c r="I760" s="45"/>
    </row>
    <row r="761" spans="1:9" s="136" customFormat="1" ht="27.75" customHeight="1">
      <c r="A761" s="161"/>
      <c r="B761" s="169"/>
      <c r="C761" s="43"/>
      <c r="D761" s="43" t="s">
        <v>311</v>
      </c>
      <c r="E761" s="43"/>
      <c r="F761" s="44"/>
      <c r="G761" s="160"/>
      <c r="H761" s="160"/>
      <c r="I761" s="170"/>
    </row>
    <row r="762" spans="1:9" s="9" customFormat="1" ht="13.5" customHeight="1">
      <c r="A762" s="158"/>
      <c r="B762" s="131"/>
      <c r="C762" s="130"/>
      <c r="D762" s="43" t="s">
        <v>69</v>
      </c>
      <c r="E762" s="130"/>
      <c r="F762" s="44">
        <v>19.899999999999999</v>
      </c>
      <c r="G762" s="155"/>
      <c r="H762" s="155"/>
      <c r="I762" s="42"/>
    </row>
    <row r="763" spans="1:9" s="9" customFormat="1" ht="13.5" customHeight="1">
      <c r="A763" s="158"/>
      <c r="B763" s="131"/>
      <c r="C763" s="130"/>
      <c r="D763" s="43" t="s">
        <v>437</v>
      </c>
      <c r="E763" s="130"/>
      <c r="F763" s="44">
        <v>18.2</v>
      </c>
      <c r="G763" s="155"/>
      <c r="H763" s="155"/>
      <c r="I763" s="42"/>
    </row>
    <row r="764" spans="1:9" s="9" customFormat="1" ht="13.5" customHeight="1">
      <c r="A764" s="158"/>
      <c r="B764" s="131"/>
      <c r="C764" s="130"/>
      <c r="D764" s="43" t="s">
        <v>453</v>
      </c>
      <c r="E764" s="130"/>
      <c r="F764" s="44">
        <v>49.1</v>
      </c>
      <c r="G764" s="155"/>
      <c r="H764" s="155"/>
      <c r="I764" s="42"/>
    </row>
    <row r="765" spans="1:9" s="2" customFormat="1" ht="13.5" customHeight="1">
      <c r="A765" s="158">
        <v>170</v>
      </c>
      <c r="B765" s="130">
        <v>771</v>
      </c>
      <c r="C765" s="130" t="s">
        <v>499</v>
      </c>
      <c r="D765" s="130" t="s">
        <v>861</v>
      </c>
      <c r="E765" s="130" t="s">
        <v>21</v>
      </c>
      <c r="F765" s="159">
        <f>F774</f>
        <v>289.10000000000002</v>
      </c>
      <c r="G765" s="167">
        <f>SUM(H767:H772)/F765</f>
        <v>0</v>
      </c>
      <c r="H765" s="155">
        <f>G765*F765</f>
        <v>0</v>
      </c>
      <c r="I765" s="42" t="s">
        <v>109</v>
      </c>
    </row>
    <row r="766" spans="1:9" s="133" customFormat="1" ht="13.5" customHeight="1">
      <c r="A766" s="161"/>
      <c r="B766" s="169"/>
      <c r="C766" s="43"/>
      <c r="D766" s="43" t="s">
        <v>310</v>
      </c>
      <c r="E766" s="43"/>
      <c r="F766" s="44"/>
      <c r="G766" s="160"/>
      <c r="H766" s="160"/>
      <c r="I766" s="170"/>
    </row>
    <row r="767" spans="1:9" s="9" customFormat="1" ht="28.5" customHeight="1">
      <c r="A767" s="134" t="s">
        <v>1000</v>
      </c>
      <c r="B767" s="131"/>
      <c r="C767" s="130"/>
      <c r="D767" s="43" t="s">
        <v>866</v>
      </c>
      <c r="E767" s="135" t="s">
        <v>21</v>
      </c>
      <c r="F767" s="44">
        <v>318.10000000000002</v>
      </c>
      <c r="G767" s="67"/>
      <c r="H767" s="44">
        <f>F767*G767</f>
        <v>0</v>
      </c>
      <c r="I767" s="42"/>
    </row>
    <row r="768" spans="1:9" s="2" customFormat="1" ht="13.5" customHeight="1">
      <c r="A768" s="134" t="s">
        <v>1001</v>
      </c>
      <c r="B768" s="132"/>
      <c r="C768" s="132"/>
      <c r="D768" s="43" t="s">
        <v>867</v>
      </c>
      <c r="E768" s="135" t="s">
        <v>21</v>
      </c>
      <c r="F768" s="44">
        <v>318.10000000000002</v>
      </c>
      <c r="G768" s="67"/>
      <c r="H768" s="44">
        <f t="shared" ref="H768" si="7">F768*G768</f>
        <v>0</v>
      </c>
      <c r="I768" s="45"/>
    </row>
    <row r="769" spans="1:11" s="2" customFormat="1" ht="26.25" customHeight="1">
      <c r="A769" s="134" t="s">
        <v>1002</v>
      </c>
      <c r="B769" s="132"/>
      <c r="C769" s="132"/>
      <c r="D769" s="43" t="s">
        <v>868</v>
      </c>
      <c r="E769" s="135" t="s">
        <v>27</v>
      </c>
      <c r="F769" s="44">
        <v>18.2</v>
      </c>
      <c r="G769" s="67"/>
      <c r="H769" s="44">
        <f>F769*G769</f>
        <v>0</v>
      </c>
      <c r="I769" s="45"/>
    </row>
    <row r="770" spans="1:11" s="2" customFormat="1" ht="13.5" customHeight="1">
      <c r="A770" s="134" t="s">
        <v>1003</v>
      </c>
      <c r="B770" s="132"/>
      <c r="C770" s="132"/>
      <c r="D770" s="43" t="s">
        <v>869</v>
      </c>
      <c r="E770" s="135" t="s">
        <v>21</v>
      </c>
      <c r="F770" s="44">
        <v>332.5</v>
      </c>
      <c r="G770" s="67"/>
      <c r="H770" s="44">
        <f>F770*G770</f>
        <v>0</v>
      </c>
      <c r="I770" s="45"/>
    </row>
    <row r="771" spans="1:11" s="2" customFormat="1" ht="31.5" customHeight="1">
      <c r="A771" s="134" t="s">
        <v>1004</v>
      </c>
      <c r="B771" s="132"/>
      <c r="C771" s="132"/>
      <c r="D771" s="43" t="s">
        <v>870</v>
      </c>
      <c r="E771" s="135" t="s">
        <v>21</v>
      </c>
      <c r="F771" s="44">
        <v>318.10000000000002</v>
      </c>
      <c r="G771" s="67"/>
      <c r="H771" s="44">
        <f>F771*G771</f>
        <v>0</v>
      </c>
      <c r="I771" s="45"/>
    </row>
    <row r="772" spans="1:11" s="2" customFormat="1" ht="13.5" customHeight="1">
      <c r="A772" s="134" t="s">
        <v>1005</v>
      </c>
      <c r="B772" s="132"/>
      <c r="C772" s="132"/>
      <c r="D772" s="43" t="s">
        <v>869</v>
      </c>
      <c r="E772" s="135" t="s">
        <v>21</v>
      </c>
      <c r="F772" s="44">
        <v>332.5</v>
      </c>
      <c r="G772" s="67"/>
      <c r="H772" s="44">
        <f>F772*G772</f>
        <v>0</v>
      </c>
      <c r="I772" s="45"/>
    </row>
    <row r="773" spans="1:11" s="136" customFormat="1" ht="27.75" customHeight="1">
      <c r="A773" s="161"/>
      <c r="B773" s="169"/>
      <c r="C773" s="43"/>
      <c r="D773" s="43" t="s">
        <v>311</v>
      </c>
      <c r="E773" s="43"/>
      <c r="F773" s="44"/>
      <c r="G773" s="160"/>
      <c r="H773" s="160"/>
      <c r="I773" s="170"/>
    </row>
    <row r="774" spans="1:11" s="9" customFormat="1" ht="13.5" customHeight="1">
      <c r="A774" s="158"/>
      <c r="B774" s="131"/>
      <c r="C774" s="130"/>
      <c r="D774" s="43" t="s">
        <v>69</v>
      </c>
      <c r="E774" s="130"/>
      <c r="F774" s="44">
        <v>289.10000000000002</v>
      </c>
      <c r="G774" s="155"/>
      <c r="H774" s="155"/>
      <c r="I774" s="42"/>
    </row>
    <row r="775" spans="1:11" s="2" customFormat="1" ht="13.5" customHeight="1">
      <c r="A775" s="158">
        <v>171</v>
      </c>
      <c r="B775" s="130">
        <v>777</v>
      </c>
      <c r="C775" s="130" t="s">
        <v>442</v>
      </c>
      <c r="D775" s="130" t="s">
        <v>305</v>
      </c>
      <c r="E775" s="130" t="s">
        <v>21</v>
      </c>
      <c r="F775" s="159">
        <f>F776</f>
        <v>3119.6999999999994</v>
      </c>
      <c r="G775" s="155"/>
      <c r="H775" s="155">
        <f>F775*G775</f>
        <v>0</v>
      </c>
      <c r="I775" s="42" t="s">
        <v>109</v>
      </c>
    </row>
    <row r="776" spans="1:11" s="9" customFormat="1" ht="27" customHeight="1">
      <c r="A776" s="158"/>
      <c r="B776" s="131"/>
      <c r="C776" s="130"/>
      <c r="D776" s="43" t="s">
        <v>313</v>
      </c>
      <c r="E776" s="130"/>
      <c r="F776" s="44">
        <f>F728+F734+F744+F754+F765</f>
        <v>3119.6999999999994</v>
      </c>
      <c r="G776" s="155"/>
      <c r="H776" s="155"/>
      <c r="I776" s="42"/>
    </row>
    <row r="777" spans="1:11" s="2" customFormat="1" ht="13.5" customHeight="1">
      <c r="A777" s="158">
        <v>172</v>
      </c>
      <c r="B777" s="130">
        <v>777</v>
      </c>
      <c r="C777" s="130">
        <v>998777204</v>
      </c>
      <c r="D777" s="130" t="s">
        <v>309</v>
      </c>
      <c r="E777" s="130" t="s">
        <v>42</v>
      </c>
      <c r="F777" s="159">
        <v>0.93</v>
      </c>
      <c r="G777" s="155"/>
      <c r="H777" s="155">
        <f>F777*G777</f>
        <v>0</v>
      </c>
      <c r="I777" s="42" t="s">
        <v>105</v>
      </c>
      <c r="J777" s="9"/>
      <c r="K777" s="12"/>
    </row>
    <row r="778" spans="1:11" s="10" customFormat="1" ht="13.5" customHeight="1">
      <c r="A778" s="158">
        <v>173</v>
      </c>
      <c r="B778" s="131" t="s">
        <v>306</v>
      </c>
      <c r="C778" s="130" t="s">
        <v>66</v>
      </c>
      <c r="D778" s="130" t="s">
        <v>67</v>
      </c>
      <c r="E778" s="130" t="s">
        <v>28</v>
      </c>
      <c r="F778" s="159">
        <f>F779</f>
        <v>40</v>
      </c>
      <c r="G778" s="155"/>
      <c r="H778" s="155">
        <f>F778*G778</f>
        <v>0</v>
      </c>
      <c r="I778" s="42" t="s">
        <v>105</v>
      </c>
    </row>
    <row r="779" spans="1:11" s="2" customFormat="1" ht="13.5" customHeight="1">
      <c r="A779" s="164"/>
      <c r="B779" s="132"/>
      <c r="C779" s="132"/>
      <c r="D779" s="43" t="s">
        <v>307</v>
      </c>
      <c r="E779" s="132"/>
      <c r="F779" s="44">
        <v>40</v>
      </c>
      <c r="G779" s="166"/>
      <c r="H779" s="155"/>
      <c r="I779" s="45"/>
    </row>
    <row r="780" spans="1:11" s="2" customFormat="1" ht="24.75" customHeight="1">
      <c r="A780" s="164"/>
      <c r="B780" s="132"/>
      <c r="C780" s="132"/>
      <c r="D780" s="43" t="s">
        <v>308</v>
      </c>
      <c r="E780" s="132"/>
      <c r="F780" s="44"/>
      <c r="G780" s="166"/>
      <c r="H780" s="155"/>
      <c r="I780" s="45"/>
    </row>
    <row r="781" spans="1:11" s="70" customFormat="1" ht="13.5" customHeight="1">
      <c r="A781" s="5"/>
      <c r="B781" s="6"/>
      <c r="C781" s="6" t="s">
        <v>328</v>
      </c>
      <c r="D781" s="6" t="s">
        <v>82</v>
      </c>
      <c r="E781" s="6"/>
      <c r="F781" s="7"/>
      <c r="G781" s="8"/>
      <c r="H781" s="8">
        <f>SUM(H782:H795)</f>
        <v>0</v>
      </c>
      <c r="I781" s="45"/>
    </row>
    <row r="782" spans="1:11" s="70" customFormat="1" ht="13.5" customHeight="1">
      <c r="A782" s="158">
        <v>174</v>
      </c>
      <c r="B782" s="130" t="s">
        <v>328</v>
      </c>
      <c r="C782" s="130" t="s">
        <v>329</v>
      </c>
      <c r="D782" s="130" t="s">
        <v>330</v>
      </c>
      <c r="E782" s="130" t="s">
        <v>21</v>
      </c>
      <c r="F782" s="159">
        <f>SUM(F783:F787)</f>
        <v>823.00000000000011</v>
      </c>
      <c r="G782" s="155"/>
      <c r="H782" s="155">
        <f>F782*G782</f>
        <v>0</v>
      </c>
      <c r="I782" s="42" t="s">
        <v>109</v>
      </c>
    </row>
    <row r="783" spans="1:11" s="70" customFormat="1" ht="13.5" customHeight="1">
      <c r="A783" s="158"/>
      <c r="B783" s="131"/>
      <c r="C783" s="130"/>
      <c r="D783" s="43" t="s">
        <v>608</v>
      </c>
      <c r="E783" s="130"/>
      <c r="F783" s="44">
        <v>514.6</v>
      </c>
      <c r="G783" s="155"/>
      <c r="H783" s="155"/>
      <c r="I783" s="11"/>
    </row>
    <row r="784" spans="1:11" s="70" customFormat="1" ht="13.5" customHeight="1">
      <c r="A784" s="158"/>
      <c r="B784" s="131"/>
      <c r="C784" s="130"/>
      <c r="D784" s="43" t="s">
        <v>609</v>
      </c>
      <c r="E784" s="130"/>
      <c r="F784" s="44">
        <v>68.099999999999994</v>
      </c>
      <c r="G784" s="155"/>
      <c r="H784" s="155"/>
      <c r="I784" s="11"/>
    </row>
    <row r="785" spans="1:11" s="70" customFormat="1" ht="13.5" customHeight="1">
      <c r="A785" s="158"/>
      <c r="B785" s="131"/>
      <c r="C785" s="130"/>
      <c r="D785" s="43" t="s">
        <v>610</v>
      </c>
      <c r="E785" s="130"/>
      <c r="F785" s="44">
        <v>140.5</v>
      </c>
      <c r="G785" s="155"/>
      <c r="H785" s="155"/>
      <c r="I785" s="11"/>
    </row>
    <row r="786" spans="1:11" s="70" customFormat="1" ht="13.5" customHeight="1">
      <c r="A786" s="158"/>
      <c r="B786" s="131"/>
      <c r="C786" s="130"/>
      <c r="D786" s="43" t="s">
        <v>645</v>
      </c>
      <c r="E786" s="130"/>
      <c r="F786" s="44">
        <v>53.2</v>
      </c>
      <c r="G786" s="155"/>
      <c r="H786" s="155"/>
      <c r="I786" s="11"/>
    </row>
    <row r="787" spans="1:11" s="70" customFormat="1" ht="13.5" customHeight="1">
      <c r="A787" s="158"/>
      <c r="B787" s="131"/>
      <c r="C787" s="130"/>
      <c r="D787" s="43" t="s">
        <v>713</v>
      </c>
      <c r="E787" s="130"/>
      <c r="F787" s="44">
        <v>46.6</v>
      </c>
      <c r="G787" s="155"/>
      <c r="H787" s="155"/>
      <c r="I787" s="11"/>
    </row>
    <row r="788" spans="1:11" s="70" customFormat="1" ht="36.75" customHeight="1">
      <c r="A788" s="158"/>
      <c r="B788" s="131"/>
      <c r="C788" s="130"/>
      <c r="D788" s="43" t="s">
        <v>331</v>
      </c>
      <c r="E788" s="130"/>
      <c r="F788" s="165"/>
      <c r="G788" s="155"/>
      <c r="H788" s="155"/>
      <c r="I788" s="11"/>
      <c r="J788" s="78"/>
      <c r="K788" s="78"/>
    </row>
    <row r="789" spans="1:11" s="70" customFormat="1" ht="27" customHeight="1">
      <c r="A789" s="158">
        <v>175</v>
      </c>
      <c r="B789" s="130" t="s">
        <v>328</v>
      </c>
      <c r="C789" s="130">
        <v>781479196</v>
      </c>
      <c r="D789" s="130" t="s">
        <v>332</v>
      </c>
      <c r="E789" s="130" t="s">
        <v>21</v>
      </c>
      <c r="F789" s="159">
        <f>F782</f>
        <v>823.00000000000011</v>
      </c>
      <c r="G789" s="155"/>
      <c r="H789" s="155">
        <f>F789*G789</f>
        <v>0</v>
      </c>
      <c r="I789" s="42" t="s">
        <v>105</v>
      </c>
      <c r="J789" s="78"/>
      <c r="K789" s="78"/>
    </row>
    <row r="790" spans="1:11" s="70" customFormat="1" ht="13.5" customHeight="1">
      <c r="A790" s="158">
        <v>176</v>
      </c>
      <c r="B790" s="130" t="s">
        <v>328</v>
      </c>
      <c r="C790" s="130">
        <v>781495111</v>
      </c>
      <c r="D790" s="130" t="s">
        <v>333</v>
      </c>
      <c r="E790" s="130" t="s">
        <v>21</v>
      </c>
      <c r="F790" s="159">
        <f>SUM(F791)</f>
        <v>823.00000000000011</v>
      </c>
      <c r="G790" s="155"/>
      <c r="H790" s="155">
        <f>F790*G790</f>
        <v>0</v>
      </c>
      <c r="I790" s="42" t="s">
        <v>105</v>
      </c>
      <c r="J790" s="78"/>
      <c r="K790" s="78"/>
    </row>
    <row r="791" spans="1:11" s="70" customFormat="1" ht="13.5" customHeight="1">
      <c r="A791" s="158"/>
      <c r="B791" s="130"/>
      <c r="C791" s="130"/>
      <c r="D791" s="43" t="s">
        <v>338</v>
      </c>
      <c r="E791" s="130"/>
      <c r="F791" s="44">
        <f>F782</f>
        <v>823.00000000000011</v>
      </c>
      <c r="G791" s="155"/>
      <c r="H791" s="155"/>
      <c r="I791" s="42"/>
      <c r="J791" s="78"/>
      <c r="K791" s="78"/>
    </row>
    <row r="792" spans="1:11" s="70" customFormat="1" ht="13.5" customHeight="1">
      <c r="A792" s="158">
        <v>177</v>
      </c>
      <c r="B792" s="130" t="s">
        <v>328</v>
      </c>
      <c r="C792" s="130">
        <v>998781204</v>
      </c>
      <c r="D792" s="130" t="s">
        <v>337</v>
      </c>
      <c r="E792" s="130" t="s">
        <v>42</v>
      </c>
      <c r="F792" s="159">
        <v>3.87</v>
      </c>
      <c r="G792" s="155"/>
      <c r="H792" s="155">
        <f>F792*G792</f>
        <v>0</v>
      </c>
      <c r="I792" s="42" t="s">
        <v>105</v>
      </c>
    </row>
    <row r="793" spans="1:11" s="70" customFormat="1" ht="13.5" customHeight="1">
      <c r="A793" s="158">
        <v>178</v>
      </c>
      <c r="B793" s="130" t="s">
        <v>131</v>
      </c>
      <c r="C793" s="130" t="s">
        <v>334</v>
      </c>
      <c r="D793" s="130" t="s">
        <v>335</v>
      </c>
      <c r="E793" s="130" t="s">
        <v>28</v>
      </c>
      <c r="F793" s="159">
        <f>F794</f>
        <v>20</v>
      </c>
      <c r="G793" s="155"/>
      <c r="H793" s="155">
        <f>F793*G793</f>
        <v>0</v>
      </c>
      <c r="I793" s="42" t="s">
        <v>105</v>
      </c>
      <c r="J793" s="78"/>
      <c r="K793" s="78"/>
    </row>
    <row r="794" spans="1:11" s="70" customFormat="1" ht="13.5" customHeight="1">
      <c r="A794" s="164"/>
      <c r="B794" s="132"/>
      <c r="C794" s="132"/>
      <c r="D794" s="43" t="s">
        <v>336</v>
      </c>
      <c r="E794" s="132"/>
      <c r="F794" s="44">
        <v>20</v>
      </c>
      <c r="G794" s="166"/>
      <c r="H794" s="155"/>
      <c r="I794" s="123"/>
      <c r="J794" s="78"/>
      <c r="K794" s="78"/>
    </row>
    <row r="795" spans="1:11" s="70" customFormat="1" ht="27" customHeight="1">
      <c r="A795" s="164"/>
      <c r="B795" s="132"/>
      <c r="C795" s="132"/>
      <c r="D795" s="43" t="s">
        <v>308</v>
      </c>
      <c r="E795" s="132"/>
      <c r="F795" s="44"/>
      <c r="G795" s="166"/>
      <c r="H795" s="155"/>
      <c r="I795" s="123"/>
      <c r="J795" s="78"/>
      <c r="K795" s="137"/>
    </row>
    <row r="796" spans="1:11" s="2" customFormat="1" ht="13.5" customHeight="1">
      <c r="A796" s="5"/>
      <c r="B796" s="6"/>
      <c r="C796" s="6">
        <v>783</v>
      </c>
      <c r="D796" s="6" t="s">
        <v>127</v>
      </c>
      <c r="E796" s="6"/>
      <c r="F796" s="7"/>
      <c r="G796" s="8"/>
      <c r="H796" s="8">
        <f>SUM(H797:H823)</f>
        <v>0</v>
      </c>
      <c r="I796" s="42"/>
    </row>
    <row r="797" spans="1:11" s="2" customFormat="1" ht="26.25" customHeight="1">
      <c r="A797" s="158">
        <v>179</v>
      </c>
      <c r="B797" s="130">
        <v>783</v>
      </c>
      <c r="C797" s="130" t="s">
        <v>128</v>
      </c>
      <c r="D797" s="130" t="s">
        <v>129</v>
      </c>
      <c r="E797" s="130" t="s">
        <v>47</v>
      </c>
      <c r="F797" s="159">
        <f>F799</f>
        <v>1</v>
      </c>
      <c r="G797" s="155"/>
      <c r="H797" s="155">
        <f>F797*G797</f>
        <v>0</v>
      </c>
      <c r="I797" s="42" t="s">
        <v>109</v>
      </c>
    </row>
    <row r="798" spans="1:11" s="10" customFormat="1" ht="38.25" customHeight="1">
      <c r="A798" s="158"/>
      <c r="B798" s="131"/>
      <c r="C798" s="130"/>
      <c r="D798" s="43" t="s">
        <v>130</v>
      </c>
      <c r="E798" s="130"/>
      <c r="F798" s="44"/>
      <c r="G798" s="155"/>
      <c r="H798" s="155"/>
      <c r="I798" s="11"/>
    </row>
    <row r="799" spans="1:11" s="9" customFormat="1" ht="13.5" customHeight="1">
      <c r="A799" s="158"/>
      <c r="B799" s="131"/>
      <c r="C799" s="130"/>
      <c r="D799" s="43" t="s">
        <v>133</v>
      </c>
      <c r="E799" s="130"/>
      <c r="F799" s="44">
        <v>1</v>
      </c>
      <c r="G799" s="155"/>
      <c r="H799" s="155"/>
      <c r="I799" s="42"/>
    </row>
    <row r="800" spans="1:11" s="2" customFormat="1" ht="26.25" customHeight="1">
      <c r="A800" s="158">
        <v>180</v>
      </c>
      <c r="B800" s="130">
        <v>783</v>
      </c>
      <c r="C800" s="130" t="s">
        <v>198</v>
      </c>
      <c r="D800" s="130" t="s">
        <v>741</v>
      </c>
      <c r="E800" s="130" t="s">
        <v>47</v>
      </c>
      <c r="F800" s="159">
        <f>F802</f>
        <v>1</v>
      </c>
      <c r="G800" s="155"/>
      <c r="H800" s="155">
        <f>F800*G800</f>
        <v>0</v>
      </c>
      <c r="I800" s="42" t="s">
        <v>109</v>
      </c>
    </row>
    <row r="801" spans="1:9" s="10" customFormat="1" ht="26.25" customHeight="1">
      <c r="A801" s="158"/>
      <c r="B801" s="131"/>
      <c r="C801" s="130"/>
      <c r="D801" s="43" t="s">
        <v>358</v>
      </c>
      <c r="E801" s="130"/>
      <c r="F801" s="44"/>
      <c r="G801" s="155"/>
      <c r="H801" s="155"/>
      <c r="I801" s="11"/>
    </row>
    <row r="802" spans="1:9" s="9" customFormat="1" ht="13.5" customHeight="1">
      <c r="A802" s="158"/>
      <c r="B802" s="131"/>
      <c r="C802" s="130"/>
      <c r="D802" s="43" t="s">
        <v>355</v>
      </c>
      <c r="E802" s="130"/>
      <c r="F802" s="44">
        <v>1</v>
      </c>
      <c r="G802" s="155"/>
      <c r="H802" s="155"/>
      <c r="I802" s="42"/>
    </row>
    <row r="803" spans="1:9" s="2" customFormat="1" ht="26.25" customHeight="1">
      <c r="A803" s="158">
        <v>181</v>
      </c>
      <c r="B803" s="130">
        <v>783</v>
      </c>
      <c r="C803" s="130" t="s">
        <v>272</v>
      </c>
      <c r="D803" s="130" t="s">
        <v>357</v>
      </c>
      <c r="E803" s="130" t="s">
        <v>21</v>
      </c>
      <c r="F803" s="159">
        <f>F805</f>
        <v>12.200000000000001</v>
      </c>
      <c r="G803" s="155"/>
      <c r="H803" s="155">
        <f>F803*G803</f>
        <v>0</v>
      </c>
      <c r="I803" s="42" t="s">
        <v>109</v>
      </c>
    </row>
    <row r="804" spans="1:9" s="10" customFormat="1" ht="30" customHeight="1">
      <c r="A804" s="158"/>
      <c r="B804" s="131"/>
      <c r="C804" s="130"/>
      <c r="D804" s="43" t="s">
        <v>359</v>
      </c>
      <c r="E804" s="130"/>
      <c r="F804" s="44"/>
      <c r="G804" s="155"/>
      <c r="H804" s="155"/>
      <c r="I804" s="11"/>
    </row>
    <row r="805" spans="1:9" s="9" customFormat="1" ht="13.5" customHeight="1">
      <c r="A805" s="158"/>
      <c r="B805" s="131"/>
      <c r="C805" s="130"/>
      <c r="D805" s="43" t="s">
        <v>360</v>
      </c>
      <c r="E805" s="130"/>
      <c r="F805" s="44">
        <f>1*0.8*2+3.9+5.9+0.4*2</f>
        <v>12.200000000000001</v>
      </c>
      <c r="G805" s="155"/>
      <c r="H805" s="155"/>
      <c r="I805" s="42"/>
    </row>
    <row r="806" spans="1:9" s="2" customFormat="1" ht="13.5" customHeight="1">
      <c r="A806" s="158">
        <v>182</v>
      </c>
      <c r="B806" s="130">
        <v>783</v>
      </c>
      <c r="C806" s="130" t="s">
        <v>326</v>
      </c>
      <c r="D806" s="130" t="s">
        <v>195</v>
      </c>
      <c r="E806" s="130" t="s">
        <v>21</v>
      </c>
      <c r="F806" s="159">
        <f>F807</f>
        <v>5624.2000000000007</v>
      </c>
      <c r="G806" s="155"/>
      <c r="H806" s="155">
        <f>F806*G806</f>
        <v>0</v>
      </c>
      <c r="I806" s="42" t="s">
        <v>109</v>
      </c>
    </row>
    <row r="807" spans="1:9" s="2" customFormat="1" ht="13.5" customHeight="1">
      <c r="A807" s="174"/>
      <c r="B807" s="131"/>
      <c r="C807" s="130"/>
      <c r="D807" s="43" t="s">
        <v>197</v>
      </c>
      <c r="E807" s="130"/>
      <c r="F807" s="44">
        <f>5328.6+295.6</f>
        <v>5624.2000000000007</v>
      </c>
      <c r="G807" s="155"/>
      <c r="H807" s="155"/>
      <c r="I807" s="42"/>
    </row>
    <row r="808" spans="1:9" s="2" customFormat="1" ht="13.5" customHeight="1">
      <c r="A808" s="158"/>
      <c r="B808" s="130"/>
      <c r="C808" s="130"/>
      <c r="D808" s="43" t="s">
        <v>196</v>
      </c>
      <c r="E808" s="130"/>
      <c r="F808" s="44"/>
      <c r="G808" s="155"/>
      <c r="H808" s="155"/>
      <c r="I808" s="42"/>
    </row>
    <row r="809" spans="1:9" s="70" customFormat="1" ht="13.5" customHeight="1">
      <c r="A809" s="158">
        <v>183</v>
      </c>
      <c r="B809" s="131" t="s">
        <v>271</v>
      </c>
      <c r="C809" s="130" t="s">
        <v>356</v>
      </c>
      <c r="D809" s="130" t="s">
        <v>273</v>
      </c>
      <c r="E809" s="130" t="s">
        <v>21</v>
      </c>
      <c r="F809" s="159">
        <f>SUM(F810:F811)</f>
        <v>320.43</v>
      </c>
      <c r="G809" s="155"/>
      <c r="H809" s="155">
        <f>F809*G809</f>
        <v>0</v>
      </c>
      <c r="I809" s="42" t="s">
        <v>109</v>
      </c>
    </row>
    <row r="810" spans="1:9" s="70" customFormat="1" ht="13.5" customHeight="1">
      <c r="A810" s="174"/>
      <c r="B810" s="131"/>
      <c r="C810" s="130"/>
      <c r="D810" s="43" t="s">
        <v>473</v>
      </c>
      <c r="E810" s="130"/>
      <c r="F810" s="44">
        <f>211.1+19.8</f>
        <v>230.9</v>
      </c>
      <c r="G810" s="155"/>
      <c r="H810" s="155"/>
      <c r="I810" s="42"/>
    </row>
    <row r="811" spans="1:9" s="70" customFormat="1" ht="13.5" customHeight="1">
      <c r="A811" s="174"/>
      <c r="B811" s="131"/>
      <c r="C811" s="130"/>
      <c r="D811" s="43" t="s">
        <v>487</v>
      </c>
      <c r="E811" s="130"/>
      <c r="F811" s="44">
        <f>71.55+10.01+7.97</f>
        <v>89.53</v>
      </c>
      <c r="G811" s="155"/>
      <c r="H811" s="155"/>
      <c r="I811" s="42"/>
    </row>
    <row r="812" spans="1:9" s="70" customFormat="1" ht="13.5" customHeight="1">
      <c r="A812" s="158">
        <v>184</v>
      </c>
      <c r="B812" s="131" t="s">
        <v>271</v>
      </c>
      <c r="C812" s="130" t="s">
        <v>361</v>
      </c>
      <c r="D812" s="130" t="s">
        <v>327</v>
      </c>
      <c r="E812" s="130" t="s">
        <v>21</v>
      </c>
      <c r="F812" s="159">
        <f>SUM(F813:F817)</f>
        <v>365.19499999999994</v>
      </c>
      <c r="G812" s="155"/>
      <c r="H812" s="155">
        <f>F812*G812</f>
        <v>0</v>
      </c>
      <c r="I812" s="42" t="s">
        <v>109</v>
      </c>
    </row>
    <row r="813" spans="1:9" s="70" customFormat="1" ht="13.5" customHeight="1">
      <c r="A813" s="174"/>
      <c r="B813" s="131"/>
      <c r="C813" s="130"/>
      <c r="D813" s="43" t="s">
        <v>547</v>
      </c>
      <c r="E813" s="130"/>
      <c r="F813" s="44">
        <f>(1.6*2+1.95*2+2.65*2+3.15*2)*3.81</f>
        <v>71.247</v>
      </c>
      <c r="G813" s="155"/>
      <c r="H813" s="155"/>
      <c r="I813" s="42"/>
    </row>
    <row r="814" spans="1:9" s="70" customFormat="1" ht="13.5" customHeight="1">
      <c r="A814" s="174"/>
      <c r="B814" s="131"/>
      <c r="C814" s="130"/>
      <c r="D814" s="43" t="s">
        <v>548</v>
      </c>
      <c r="E814" s="130"/>
      <c r="F814" s="44">
        <f>(1.6*2+1.95*2+2.6*2+3.15*2)*3.885</f>
        <v>72.260999999999996</v>
      </c>
      <c r="G814" s="155"/>
      <c r="H814" s="155"/>
      <c r="I814" s="42"/>
    </row>
    <row r="815" spans="1:9" s="70" customFormat="1" ht="13.5" customHeight="1">
      <c r="A815" s="174"/>
      <c r="B815" s="131"/>
      <c r="C815" s="130"/>
      <c r="D815" s="43" t="s">
        <v>624</v>
      </c>
      <c r="E815" s="130"/>
      <c r="F815" s="44">
        <f>(1.6*2+1.95*2+2.6*2+3.15*2)*3.905</f>
        <v>72.632999999999996</v>
      </c>
      <c r="G815" s="155"/>
      <c r="H815" s="155"/>
      <c r="I815" s="42"/>
    </row>
    <row r="816" spans="1:9" s="70" customFormat="1" ht="13.5" customHeight="1">
      <c r="A816" s="174"/>
      <c r="B816" s="131"/>
      <c r="C816" s="130"/>
      <c r="D816" s="43" t="s">
        <v>690</v>
      </c>
      <c r="E816" s="130"/>
      <c r="F816" s="44">
        <f>(1.6*2+1.95*2+2.6*2+3.15*2)*3.885</f>
        <v>72.260999999999996</v>
      </c>
      <c r="G816" s="155"/>
      <c r="H816" s="155"/>
      <c r="I816" s="42"/>
    </row>
    <row r="817" spans="1:16" s="70" customFormat="1" ht="13.5" customHeight="1">
      <c r="A817" s="174"/>
      <c r="B817" s="131"/>
      <c r="C817" s="130"/>
      <c r="D817" s="43" t="s">
        <v>716</v>
      </c>
      <c r="E817" s="130"/>
      <c r="F817" s="44">
        <f>(1.6*2+1.95*2+2.6*2+3.15*2)*3.505+3.2+8.4</f>
        <v>76.793000000000006</v>
      </c>
      <c r="G817" s="155"/>
      <c r="H817" s="155"/>
      <c r="I817" s="42"/>
    </row>
    <row r="818" spans="1:16" s="70" customFormat="1" ht="13.5" customHeight="1">
      <c r="A818" s="158">
        <v>185</v>
      </c>
      <c r="B818" s="130">
        <v>311</v>
      </c>
      <c r="C818" s="130" t="s">
        <v>408</v>
      </c>
      <c r="D818" s="130" t="s">
        <v>406</v>
      </c>
      <c r="E818" s="130" t="s">
        <v>21</v>
      </c>
      <c r="F818" s="163">
        <f>F820</f>
        <v>47.938000000000002</v>
      </c>
      <c r="G818" s="155"/>
      <c r="H818" s="155">
        <f>F818*G818</f>
        <v>0</v>
      </c>
      <c r="I818" s="42" t="s">
        <v>109</v>
      </c>
    </row>
    <row r="819" spans="1:16" s="70" customFormat="1" ht="25.5" customHeight="1">
      <c r="A819" s="171"/>
      <c r="B819" s="131"/>
      <c r="C819" s="130"/>
      <c r="D819" s="43" t="s">
        <v>407</v>
      </c>
      <c r="E819" s="130"/>
      <c r="F819" s="44"/>
      <c r="G819" s="155"/>
      <c r="H819" s="155"/>
      <c r="I819" s="68"/>
    </row>
    <row r="820" spans="1:16" s="70" customFormat="1" ht="27.75" customHeight="1">
      <c r="A820" s="171"/>
      <c r="B820" s="131"/>
      <c r="C820" s="130"/>
      <c r="D820" s="43" t="s">
        <v>409</v>
      </c>
      <c r="E820" s="130"/>
      <c r="F820" s="44">
        <f>(4.1+3.2+0.6+7.1)*(1.84+0.2+0.2)+2.3*1.5+ 1.5*0.174*8+4.4*(1.8+0.2)</f>
        <v>47.938000000000002</v>
      </c>
      <c r="G820" s="155"/>
      <c r="H820" s="155"/>
      <c r="I820" s="68"/>
    </row>
    <row r="821" spans="1:16" s="110" customFormat="1" ht="13.5" customHeight="1">
      <c r="A821" s="158">
        <v>186</v>
      </c>
      <c r="B821" s="130" t="s">
        <v>131</v>
      </c>
      <c r="C821" s="130" t="s">
        <v>74</v>
      </c>
      <c r="D821" s="130" t="s">
        <v>75</v>
      </c>
      <c r="E821" s="130" t="s">
        <v>28</v>
      </c>
      <c r="F821" s="159">
        <f>F822</f>
        <v>30</v>
      </c>
      <c r="G821" s="155"/>
      <c r="H821" s="155">
        <f>F821*G821</f>
        <v>0</v>
      </c>
      <c r="I821" s="42" t="s">
        <v>105</v>
      </c>
    </row>
    <row r="822" spans="1:16" s="22" customFormat="1" ht="13.5" customHeight="1">
      <c r="A822" s="164"/>
      <c r="B822" s="132"/>
      <c r="C822" s="132"/>
      <c r="D822" s="43" t="s">
        <v>132</v>
      </c>
      <c r="E822" s="132"/>
      <c r="F822" s="44">
        <v>30</v>
      </c>
      <c r="G822" s="166"/>
      <c r="H822" s="155"/>
      <c r="I822" s="123"/>
    </row>
    <row r="823" spans="1:16" s="22" customFormat="1" ht="13.5" customHeight="1">
      <c r="A823" s="164"/>
      <c r="B823" s="132"/>
      <c r="C823" s="132"/>
      <c r="D823" s="43" t="s">
        <v>77</v>
      </c>
      <c r="E823" s="132"/>
      <c r="F823" s="44"/>
      <c r="G823" s="166"/>
      <c r="H823" s="155"/>
      <c r="I823" s="123"/>
    </row>
    <row r="824" spans="1:16" s="70" customFormat="1" ht="13.5" customHeight="1">
      <c r="A824" s="5"/>
      <c r="B824" s="6"/>
      <c r="C824" s="6" t="s">
        <v>70</v>
      </c>
      <c r="D824" s="6" t="s">
        <v>71</v>
      </c>
      <c r="E824" s="6"/>
      <c r="F824" s="7"/>
      <c r="G824" s="8"/>
      <c r="H824" s="8">
        <f>SUM(H825:H872)</f>
        <v>0</v>
      </c>
      <c r="I824" s="42"/>
    </row>
    <row r="825" spans="1:16" s="70" customFormat="1" ht="13.5" customHeight="1">
      <c r="A825" s="158">
        <v>187</v>
      </c>
      <c r="B825" s="130" t="s">
        <v>70</v>
      </c>
      <c r="C825" s="130">
        <v>784181103</v>
      </c>
      <c r="D825" s="130" t="s">
        <v>72</v>
      </c>
      <c r="E825" s="130" t="s">
        <v>21</v>
      </c>
      <c r="F825" s="159">
        <f>F826+F852</f>
        <v>24149.14974999999</v>
      </c>
      <c r="G825" s="155"/>
      <c r="H825" s="155">
        <f>F825*G825</f>
        <v>0</v>
      </c>
      <c r="I825" s="42" t="s">
        <v>105</v>
      </c>
    </row>
    <row r="826" spans="1:16" s="70" customFormat="1" ht="27" customHeight="1">
      <c r="A826" s="158">
        <v>188</v>
      </c>
      <c r="B826" s="130" t="s">
        <v>70</v>
      </c>
      <c r="C826" s="130">
        <v>784211103</v>
      </c>
      <c r="D826" s="130" t="s">
        <v>78</v>
      </c>
      <c r="E826" s="130" t="s">
        <v>21</v>
      </c>
      <c r="F826" s="159">
        <f>SUM(F827:F851)</f>
        <v>21770.549749999991</v>
      </c>
      <c r="G826" s="155"/>
      <c r="H826" s="155">
        <f>F826*G826</f>
        <v>0</v>
      </c>
      <c r="I826" s="42" t="s">
        <v>105</v>
      </c>
    </row>
    <row r="827" spans="1:16" s="70" customFormat="1" ht="13.5" customHeight="1">
      <c r="A827" s="158"/>
      <c r="B827" s="130"/>
      <c r="C827" s="130"/>
      <c r="D827" s="43" t="s">
        <v>106</v>
      </c>
      <c r="E827" s="130"/>
      <c r="F827" s="44">
        <v>229.9</v>
      </c>
      <c r="G827" s="155"/>
      <c r="H827" s="155"/>
      <c r="I827" s="42"/>
      <c r="J827" s="73"/>
    </row>
    <row r="828" spans="1:16" s="70" customFormat="1" ht="13.5" customHeight="1">
      <c r="A828" s="158"/>
      <c r="B828" s="130"/>
      <c r="C828" s="130"/>
      <c r="D828" s="43" t="s">
        <v>833</v>
      </c>
      <c r="E828" s="130"/>
      <c r="F828" s="44">
        <f>1390.22-112.54</f>
        <v>1277.68</v>
      </c>
      <c r="G828" s="155"/>
      <c r="H828" s="155"/>
      <c r="I828" s="42"/>
      <c r="J828" s="22"/>
    </row>
    <row r="829" spans="1:16" s="70" customFormat="1" ht="13.5" customHeight="1">
      <c r="A829" s="158"/>
      <c r="B829" s="130"/>
      <c r="C829" s="130"/>
      <c r="D829" s="43" t="s">
        <v>834</v>
      </c>
      <c r="E829" s="130"/>
      <c r="F829" s="44">
        <f>1690-121.86</f>
        <v>1568.14</v>
      </c>
      <c r="G829" s="155"/>
      <c r="H829" s="155"/>
      <c r="I829" s="42"/>
    </row>
    <row r="830" spans="1:16" s="70" customFormat="1" ht="13.5" customHeight="1">
      <c r="A830" s="158"/>
      <c r="B830" s="130"/>
      <c r="C830" s="130"/>
      <c r="D830" s="43" t="s">
        <v>835</v>
      </c>
      <c r="E830" s="130"/>
      <c r="F830" s="44">
        <f>1729.33-117.8</f>
        <v>1611.53</v>
      </c>
      <c r="G830" s="155"/>
      <c r="H830" s="155"/>
      <c r="I830" s="42"/>
      <c r="J830" s="151"/>
      <c r="K830" s="78"/>
      <c r="L830" s="78"/>
      <c r="M830" s="78"/>
      <c r="N830" s="78"/>
      <c r="O830" s="78"/>
      <c r="P830" s="78"/>
    </row>
    <row r="831" spans="1:16" s="70" customFormat="1" ht="13.5" customHeight="1">
      <c r="A831" s="158"/>
      <c r="B831" s="130"/>
      <c r="C831" s="130"/>
      <c r="D831" s="43" t="s">
        <v>836</v>
      </c>
      <c r="E831" s="130"/>
      <c r="F831" s="44">
        <f>1751.88-147.19</f>
        <v>1604.69</v>
      </c>
      <c r="G831" s="155"/>
      <c r="H831" s="155"/>
      <c r="I831" s="42"/>
      <c r="J831" s="120"/>
      <c r="K831" s="78"/>
      <c r="L831" s="78"/>
      <c r="M831" s="78"/>
      <c r="N831" s="78"/>
      <c r="O831" s="78"/>
      <c r="P831" s="78"/>
    </row>
    <row r="832" spans="1:16" s="70" customFormat="1" ht="13.5" customHeight="1">
      <c r="A832" s="158"/>
      <c r="B832" s="130"/>
      <c r="C832" s="130"/>
      <c r="D832" s="43" t="s">
        <v>837</v>
      </c>
      <c r="E832" s="130"/>
      <c r="F832" s="44">
        <f>452.32-65.69</f>
        <v>386.63</v>
      </c>
      <c r="G832" s="155"/>
      <c r="H832" s="155"/>
      <c r="I832" s="42"/>
      <c r="J832" s="78"/>
      <c r="K832" s="78"/>
      <c r="L832" s="78"/>
      <c r="M832" s="78"/>
      <c r="N832" s="78"/>
      <c r="O832" s="78"/>
      <c r="P832" s="78"/>
    </row>
    <row r="833" spans="1:16" s="70" customFormat="1" ht="13.5" customHeight="1">
      <c r="A833" s="158"/>
      <c r="B833" s="130"/>
      <c r="C833" s="130"/>
      <c r="D833" s="43" t="s">
        <v>108</v>
      </c>
      <c r="E833" s="130"/>
      <c r="F833" s="44">
        <f xml:space="preserve"> (13.3+12.9+19.7+16.2)*2.27</f>
        <v>140.96700000000001</v>
      </c>
      <c r="G833" s="155"/>
      <c r="H833" s="155"/>
      <c r="I833" s="42"/>
      <c r="J833" s="73"/>
    </row>
    <row r="834" spans="1:16" s="70" customFormat="1" ht="13.5" customHeight="1">
      <c r="A834" s="158"/>
      <c r="B834" s="130"/>
      <c r="C834" s="130"/>
      <c r="D834" s="43" t="s">
        <v>484</v>
      </c>
      <c r="E834" s="130"/>
      <c r="F834" s="44">
        <v>174.3</v>
      </c>
      <c r="G834" s="155"/>
      <c r="H834" s="155"/>
      <c r="I834" s="42"/>
      <c r="J834" s="78"/>
      <c r="K834" s="78"/>
      <c r="L834" s="78"/>
      <c r="M834" s="78"/>
      <c r="N834" s="78"/>
      <c r="O834" s="78"/>
      <c r="P834" s="78"/>
    </row>
    <row r="835" spans="1:16" s="70" customFormat="1" ht="13.5" customHeight="1">
      <c r="A835" s="158"/>
      <c r="B835" s="130"/>
      <c r="C835" s="130"/>
      <c r="D835" s="43" t="s">
        <v>154</v>
      </c>
      <c r="E835" s="130"/>
      <c r="F835" s="44">
        <v>2514</v>
      </c>
      <c r="G835" s="155"/>
      <c r="H835" s="155"/>
      <c r="I835" s="42"/>
      <c r="J835" s="78"/>
      <c r="K835" s="78"/>
      <c r="L835" s="78"/>
      <c r="M835" s="78"/>
      <c r="N835" s="78"/>
      <c r="O835" s="78"/>
      <c r="P835" s="78"/>
    </row>
    <row r="836" spans="1:16" s="70" customFormat="1" ht="13.5" customHeight="1">
      <c r="A836" s="158"/>
      <c r="B836" s="130"/>
      <c r="C836" s="130"/>
      <c r="D836" s="43" t="s">
        <v>155</v>
      </c>
      <c r="E836" s="130"/>
      <c r="F836" s="44">
        <v>3307.3</v>
      </c>
      <c r="G836" s="155"/>
      <c r="H836" s="155"/>
      <c r="I836" s="42"/>
      <c r="J836" s="78"/>
      <c r="K836" s="78"/>
      <c r="L836" s="78"/>
      <c r="M836" s="78"/>
      <c r="N836" s="78"/>
      <c r="O836" s="78"/>
      <c r="P836" s="78"/>
    </row>
    <row r="837" spans="1:16" s="70" customFormat="1" ht="13.5" customHeight="1">
      <c r="A837" s="158"/>
      <c r="B837" s="130"/>
      <c r="C837" s="130"/>
      <c r="D837" s="43" t="s">
        <v>156</v>
      </c>
      <c r="E837" s="130"/>
      <c r="F837" s="44">
        <v>3156.9</v>
      </c>
      <c r="G837" s="155"/>
      <c r="H837" s="155"/>
      <c r="I837" s="42"/>
      <c r="J837" s="78"/>
      <c r="K837" s="78"/>
      <c r="L837" s="78"/>
      <c r="M837" s="78"/>
      <c r="N837" s="78"/>
      <c r="O837" s="78"/>
      <c r="P837" s="78"/>
    </row>
    <row r="838" spans="1:16" s="70" customFormat="1" ht="13.5" customHeight="1">
      <c r="A838" s="158"/>
      <c r="B838" s="130"/>
      <c r="C838" s="130"/>
      <c r="D838" s="43" t="s">
        <v>157</v>
      </c>
      <c r="E838" s="130"/>
      <c r="F838" s="44">
        <v>2958.7</v>
      </c>
      <c r="G838" s="155"/>
      <c r="H838" s="155"/>
      <c r="I838" s="42"/>
      <c r="J838" s="78"/>
      <c r="K838" s="78"/>
      <c r="L838" s="78"/>
      <c r="M838" s="78"/>
      <c r="N838" s="78"/>
      <c r="O838" s="78"/>
      <c r="P838" s="78"/>
    </row>
    <row r="839" spans="1:16" s="70" customFormat="1" ht="13.5" customHeight="1">
      <c r="A839" s="158"/>
      <c r="B839" s="130"/>
      <c r="C839" s="130"/>
      <c r="D839" s="43" t="s">
        <v>158</v>
      </c>
      <c r="E839" s="130"/>
      <c r="F839" s="44">
        <v>1739.2</v>
      </c>
      <c r="G839" s="155"/>
      <c r="H839" s="155"/>
      <c r="I839" s="42"/>
      <c r="J839" s="78"/>
      <c r="K839" s="78"/>
      <c r="L839" s="78"/>
      <c r="M839" s="78"/>
      <c r="N839" s="78"/>
      <c r="O839" s="78"/>
      <c r="P839" s="78"/>
    </row>
    <row r="840" spans="1:16" s="70" customFormat="1" ht="13.5" customHeight="1">
      <c r="A840" s="158"/>
      <c r="B840" s="130"/>
      <c r="C840" s="130"/>
      <c r="D840" s="43" t="s">
        <v>161</v>
      </c>
      <c r="E840" s="130"/>
      <c r="F840" s="44">
        <v>168.1</v>
      </c>
      <c r="G840" s="155"/>
      <c r="H840" s="155"/>
      <c r="I840" s="42"/>
      <c r="J840" s="78"/>
      <c r="K840" s="78"/>
      <c r="L840" s="78"/>
      <c r="M840" s="78"/>
      <c r="N840" s="78"/>
      <c r="O840" s="78"/>
      <c r="P840" s="78"/>
    </row>
    <row r="841" spans="1:16" s="70" customFormat="1" ht="13.5" customHeight="1">
      <c r="A841" s="158"/>
      <c r="B841" s="130"/>
      <c r="C841" s="130"/>
      <c r="D841" s="43" t="s">
        <v>168</v>
      </c>
      <c r="E841" s="130"/>
      <c r="F841" s="44">
        <v>162.1</v>
      </c>
      <c r="G841" s="155"/>
      <c r="H841" s="155"/>
      <c r="I841" s="42"/>
      <c r="J841" s="78"/>
      <c r="K841" s="78"/>
      <c r="L841" s="78"/>
      <c r="M841" s="78"/>
      <c r="N841" s="78"/>
      <c r="O841" s="78"/>
      <c r="P841" s="78"/>
    </row>
    <row r="842" spans="1:16" s="70" customFormat="1" ht="13.5" customHeight="1">
      <c r="A842" s="158"/>
      <c r="B842" s="130"/>
      <c r="C842" s="130"/>
      <c r="D842" s="43" t="s">
        <v>849</v>
      </c>
      <c r="E842" s="130"/>
      <c r="F842" s="44">
        <f>22.5*2+17.4*2+25.8*2+0.6*2</f>
        <v>132.6</v>
      </c>
      <c r="G842" s="155"/>
      <c r="H842" s="155"/>
      <c r="I842" s="42"/>
      <c r="J842" s="79"/>
      <c r="K842" s="78"/>
      <c r="L842" s="78"/>
      <c r="M842" s="78"/>
      <c r="N842" s="78"/>
      <c r="O842" s="78"/>
      <c r="P842" s="78"/>
    </row>
    <row r="843" spans="1:16" s="70" customFormat="1" ht="13.5" customHeight="1">
      <c r="A843" s="158"/>
      <c r="B843" s="130"/>
      <c r="C843" s="130"/>
      <c r="D843" s="43" t="s">
        <v>553</v>
      </c>
      <c r="E843" s="130"/>
      <c r="F843" s="44">
        <f>(2.2+1.2+3.15+4.1)*3.5</f>
        <v>37.274999999999999</v>
      </c>
      <c r="G843" s="155"/>
      <c r="H843" s="155"/>
      <c r="I843" s="42"/>
      <c r="J843" s="78"/>
      <c r="K843" s="78"/>
      <c r="L843" s="78"/>
      <c r="M843" s="78"/>
      <c r="N843" s="78"/>
      <c r="O843" s="78"/>
      <c r="P843" s="78"/>
    </row>
    <row r="844" spans="1:16" s="70" customFormat="1" ht="13.5" customHeight="1">
      <c r="A844" s="158"/>
      <c r="B844" s="130"/>
      <c r="C844" s="130"/>
      <c r="D844" s="43" t="s">
        <v>559</v>
      </c>
      <c r="E844" s="130"/>
      <c r="F844" s="44">
        <f>22.3*2+8.6*2+20.9*2</f>
        <v>103.6</v>
      </c>
      <c r="G844" s="155"/>
      <c r="H844" s="155"/>
      <c r="I844" s="42"/>
      <c r="J844" s="78"/>
      <c r="K844" s="78"/>
      <c r="L844" s="78"/>
      <c r="M844" s="78"/>
      <c r="N844" s="78"/>
      <c r="O844" s="78"/>
      <c r="P844" s="78"/>
    </row>
    <row r="845" spans="1:16" s="70" customFormat="1" ht="13.5" customHeight="1">
      <c r="A845" s="158"/>
      <c r="B845" s="130"/>
      <c r="C845" s="130"/>
      <c r="D845" s="43" t="s">
        <v>554</v>
      </c>
      <c r="E845" s="130"/>
      <c r="F845" s="44">
        <f>(2.2+1.2+3.15+4.1)*3.5</f>
        <v>37.274999999999999</v>
      </c>
      <c r="G845" s="155"/>
      <c r="H845" s="155"/>
      <c r="I845" s="42"/>
      <c r="J845" s="78"/>
      <c r="K845" s="78"/>
      <c r="L845" s="78"/>
      <c r="M845" s="78"/>
      <c r="N845" s="78"/>
      <c r="O845" s="78"/>
      <c r="P845" s="78"/>
    </row>
    <row r="846" spans="1:16" s="70" customFormat="1" ht="13.5" customHeight="1">
      <c r="A846" s="158"/>
      <c r="B846" s="130"/>
      <c r="C846" s="130"/>
      <c r="D846" s="43" t="s">
        <v>630</v>
      </c>
      <c r="E846" s="130"/>
      <c r="F846" s="44">
        <f>25.8*2+9.8*2+23.2*2</f>
        <v>117.6</v>
      </c>
      <c r="G846" s="155"/>
      <c r="H846" s="155"/>
      <c r="I846" s="42"/>
      <c r="J846" s="78"/>
      <c r="K846" s="78"/>
      <c r="L846" s="78"/>
      <c r="M846" s="78"/>
      <c r="N846" s="78"/>
      <c r="O846" s="78"/>
      <c r="P846" s="78"/>
    </row>
    <row r="847" spans="1:16" s="70" customFormat="1" ht="13.5" customHeight="1">
      <c r="A847" s="158"/>
      <c r="B847" s="130"/>
      <c r="C847" s="130"/>
      <c r="D847" s="43" t="s">
        <v>659</v>
      </c>
      <c r="E847" s="130"/>
      <c r="F847" s="44">
        <f>(2.2+1.2+3.15+4.1)*3.53</f>
        <v>37.594499999999996</v>
      </c>
      <c r="G847" s="155"/>
      <c r="H847" s="155"/>
      <c r="I847" s="42"/>
      <c r="J847" s="78"/>
      <c r="K847" s="78"/>
      <c r="L847" s="78"/>
      <c r="M847" s="78"/>
      <c r="N847" s="78"/>
      <c r="O847" s="78"/>
      <c r="P847" s="78"/>
    </row>
    <row r="848" spans="1:16" s="70" customFormat="1" ht="13.5" customHeight="1">
      <c r="A848" s="158"/>
      <c r="B848" s="130"/>
      <c r="C848" s="130"/>
      <c r="D848" s="43" t="s">
        <v>661</v>
      </c>
      <c r="E848" s="130"/>
      <c r="F848" s="44">
        <f>36*2+17.2*2+23.4*2</f>
        <v>153.19999999999999</v>
      </c>
      <c r="G848" s="155"/>
      <c r="H848" s="155"/>
      <c r="I848" s="42"/>
      <c r="J848" s="78"/>
      <c r="K848" s="78"/>
      <c r="L848" s="78"/>
      <c r="M848" s="78"/>
      <c r="N848" s="78"/>
      <c r="O848" s="78"/>
      <c r="P848" s="78"/>
    </row>
    <row r="849" spans="1:16" s="70" customFormat="1" ht="13.5" customHeight="1">
      <c r="A849" s="158"/>
      <c r="B849" s="130"/>
      <c r="C849" s="130"/>
      <c r="D849" s="43" t="s">
        <v>660</v>
      </c>
      <c r="E849" s="130"/>
      <c r="F849" s="44">
        <f>(2.2+1.2+3.15+4.1)*3.6</f>
        <v>38.340000000000003</v>
      </c>
      <c r="G849" s="155"/>
      <c r="H849" s="155"/>
      <c r="I849" s="42"/>
      <c r="J849" s="78"/>
      <c r="K849" s="78"/>
      <c r="L849" s="78"/>
      <c r="M849" s="78"/>
      <c r="N849" s="78"/>
      <c r="O849" s="78"/>
      <c r="P849" s="78"/>
    </row>
    <row r="850" spans="1:16" s="70" customFormat="1" ht="13.5" customHeight="1">
      <c r="A850" s="158"/>
      <c r="B850" s="130"/>
      <c r="C850" s="130"/>
      <c r="D850" s="43" t="s">
        <v>726</v>
      </c>
      <c r="E850" s="130"/>
      <c r="F850" s="44">
        <f xml:space="preserve"> 5.3*2+22.8*2+9.7*2</f>
        <v>75.599999999999994</v>
      </c>
      <c r="G850" s="155"/>
      <c r="H850" s="155"/>
      <c r="I850" s="42"/>
      <c r="J850" s="78"/>
      <c r="K850" s="78"/>
      <c r="L850" s="78"/>
      <c r="M850" s="78"/>
      <c r="N850" s="78"/>
      <c r="O850" s="78"/>
      <c r="P850" s="78"/>
    </row>
    <row r="851" spans="1:16" s="70" customFormat="1" ht="13.5" customHeight="1">
      <c r="A851" s="158"/>
      <c r="B851" s="130"/>
      <c r="C851" s="130"/>
      <c r="D851" s="43" t="s">
        <v>725</v>
      </c>
      <c r="E851" s="130"/>
      <c r="F851" s="44">
        <f>(2.2+1.2+3.15+4.1)*3.505</f>
        <v>37.328249999999997</v>
      </c>
      <c r="G851" s="155"/>
      <c r="H851" s="155"/>
      <c r="I851" s="42"/>
      <c r="J851" s="78"/>
      <c r="K851" s="78"/>
      <c r="L851" s="78"/>
      <c r="M851" s="78"/>
      <c r="N851" s="78"/>
      <c r="O851" s="78"/>
      <c r="P851" s="78"/>
    </row>
    <row r="852" spans="1:16" s="70" customFormat="1" ht="27" customHeight="1">
      <c r="A852" s="158">
        <v>189</v>
      </c>
      <c r="B852" s="130" t="s">
        <v>70</v>
      </c>
      <c r="C852" s="130" t="s">
        <v>267</v>
      </c>
      <c r="D852" s="130" t="s">
        <v>268</v>
      </c>
      <c r="E852" s="130" t="s">
        <v>21</v>
      </c>
      <c r="F852" s="159">
        <f>SUM(F853:F868)</f>
        <v>2378.6000000000004</v>
      </c>
      <c r="G852" s="155"/>
      <c r="H852" s="155">
        <f>F852*G852</f>
        <v>0</v>
      </c>
      <c r="I852" s="42" t="s">
        <v>109</v>
      </c>
    </row>
    <row r="853" spans="1:16" s="70" customFormat="1" ht="13.5" customHeight="1">
      <c r="A853" s="158"/>
      <c r="B853" s="130"/>
      <c r="C853" s="130"/>
      <c r="D853" s="43" t="s">
        <v>513</v>
      </c>
      <c r="E853" s="130"/>
      <c r="F853" s="44">
        <v>253.7</v>
      </c>
      <c r="G853" s="155"/>
      <c r="H853" s="155"/>
      <c r="I853" s="42"/>
      <c r="J853" s="78"/>
      <c r="K853" s="78"/>
      <c r="L853" s="78"/>
      <c r="M853" s="78"/>
      <c r="N853" s="78"/>
      <c r="O853" s="78"/>
      <c r="P853" s="78"/>
    </row>
    <row r="854" spans="1:16" s="70" customFormat="1" ht="13.5" customHeight="1">
      <c r="A854" s="158"/>
      <c r="B854" s="130"/>
      <c r="C854" s="130"/>
      <c r="D854" s="43" t="s">
        <v>823</v>
      </c>
      <c r="E854" s="130"/>
      <c r="F854" s="44">
        <f>37.9+2+1.1</f>
        <v>41</v>
      </c>
      <c r="G854" s="155"/>
      <c r="H854" s="155"/>
      <c r="I854" s="42"/>
      <c r="J854" s="78"/>
      <c r="K854" s="78"/>
      <c r="L854" s="78"/>
      <c r="M854" s="78"/>
      <c r="N854" s="78"/>
      <c r="O854" s="78"/>
      <c r="P854" s="78"/>
    </row>
    <row r="855" spans="1:16" s="70" customFormat="1" ht="13.5" customHeight="1">
      <c r="A855" s="158"/>
      <c r="B855" s="131"/>
      <c r="C855" s="130"/>
      <c r="D855" s="43" t="s">
        <v>832</v>
      </c>
      <c r="E855" s="130"/>
      <c r="F855" s="44">
        <v>31.7</v>
      </c>
      <c r="G855" s="155"/>
      <c r="H855" s="155"/>
      <c r="I855" s="42"/>
    </row>
    <row r="856" spans="1:16" s="70" customFormat="1" ht="13.5" customHeight="1">
      <c r="A856" s="158"/>
      <c r="B856" s="130"/>
      <c r="C856" s="130"/>
      <c r="D856" s="43" t="s">
        <v>824</v>
      </c>
      <c r="E856" s="130"/>
      <c r="F856" s="44">
        <f>33.5+1.7</f>
        <v>35.200000000000003</v>
      </c>
      <c r="G856" s="155"/>
      <c r="H856" s="155"/>
      <c r="I856" s="42"/>
      <c r="J856" s="78"/>
      <c r="K856" s="78"/>
      <c r="L856" s="78"/>
      <c r="M856" s="78"/>
      <c r="N856" s="78"/>
      <c r="O856" s="78"/>
      <c r="P856" s="78"/>
    </row>
    <row r="857" spans="1:16" s="70" customFormat="1" ht="13.5" customHeight="1">
      <c r="A857" s="158"/>
      <c r="B857" s="130"/>
      <c r="C857" s="130"/>
      <c r="D857" s="43" t="s">
        <v>825</v>
      </c>
      <c r="E857" s="130"/>
      <c r="F857" s="44">
        <f>4.9+1.7</f>
        <v>6.6000000000000005</v>
      </c>
      <c r="G857" s="155"/>
      <c r="H857" s="155"/>
      <c r="I857" s="42"/>
      <c r="J857" s="78"/>
      <c r="K857" s="78"/>
      <c r="L857" s="78"/>
      <c r="M857" s="78"/>
      <c r="N857" s="78"/>
      <c r="O857" s="78"/>
      <c r="P857" s="78"/>
    </row>
    <row r="858" spans="1:16" s="70" customFormat="1" ht="13.5" customHeight="1">
      <c r="A858" s="158"/>
      <c r="B858" s="130"/>
      <c r="C858" s="130"/>
      <c r="D858" s="43" t="s">
        <v>826</v>
      </c>
      <c r="E858" s="130"/>
      <c r="F858" s="44">
        <f xml:space="preserve"> 137+16.8+1.7</f>
        <v>155.5</v>
      </c>
      <c r="G858" s="155"/>
      <c r="H858" s="155"/>
      <c r="I858" s="42"/>
      <c r="J858" s="78"/>
      <c r="K858" s="78"/>
      <c r="L858" s="78"/>
      <c r="M858" s="78"/>
      <c r="N858" s="78"/>
      <c r="O858" s="78"/>
      <c r="P858" s="78"/>
    </row>
    <row r="859" spans="1:16" s="70" customFormat="1" ht="13.5" customHeight="1">
      <c r="A859" s="158"/>
      <c r="B859" s="130"/>
      <c r="C859" s="130"/>
      <c r="D859" s="43" t="s">
        <v>827</v>
      </c>
      <c r="E859" s="130"/>
      <c r="F859" s="44">
        <f>99.9+1.9</f>
        <v>101.80000000000001</v>
      </c>
      <c r="G859" s="155"/>
      <c r="H859" s="155"/>
      <c r="I859" s="42"/>
      <c r="J859" s="78"/>
      <c r="K859" s="78"/>
      <c r="L859" s="78"/>
      <c r="M859" s="78"/>
      <c r="N859" s="78"/>
      <c r="O859" s="78"/>
      <c r="P859" s="78"/>
    </row>
    <row r="860" spans="1:16" s="70" customFormat="1" ht="13.5" customHeight="1">
      <c r="A860" s="158"/>
      <c r="B860" s="130"/>
      <c r="C860" s="130"/>
      <c r="D860" s="43" t="s">
        <v>765</v>
      </c>
      <c r="E860" s="130"/>
      <c r="F860" s="44">
        <v>27.8</v>
      </c>
      <c r="G860" s="155"/>
      <c r="H860" s="155"/>
      <c r="I860" s="42"/>
      <c r="J860" s="78"/>
      <c r="K860" s="78"/>
      <c r="L860" s="78"/>
      <c r="M860" s="78"/>
      <c r="N860" s="78"/>
      <c r="O860" s="78"/>
      <c r="P860" s="78"/>
    </row>
    <row r="861" spans="1:16" s="70" customFormat="1" ht="13.5" customHeight="1">
      <c r="A861" s="158"/>
      <c r="B861" s="130"/>
      <c r="C861" s="130"/>
      <c r="D861" s="43" t="s">
        <v>479</v>
      </c>
      <c r="E861" s="130"/>
      <c r="F861" s="44">
        <f>23.3*2</f>
        <v>46.6</v>
      </c>
      <c r="G861" s="155"/>
      <c r="H861" s="155"/>
      <c r="I861" s="42"/>
      <c r="J861" s="78"/>
      <c r="K861" s="78"/>
      <c r="L861" s="78"/>
      <c r="M861" s="78"/>
      <c r="N861" s="78"/>
      <c r="O861" s="78"/>
      <c r="P861" s="78"/>
    </row>
    <row r="862" spans="1:16" s="70" customFormat="1" ht="13.5" customHeight="1">
      <c r="A862" s="158"/>
      <c r="B862" s="130"/>
      <c r="C862" s="130"/>
      <c r="D862" s="43" t="s">
        <v>531</v>
      </c>
      <c r="E862" s="130"/>
      <c r="F862" s="44">
        <v>38.5</v>
      </c>
      <c r="G862" s="155"/>
      <c r="H862" s="155"/>
      <c r="I862" s="42"/>
      <c r="J862" s="78"/>
      <c r="K862" s="78"/>
      <c r="L862" s="78"/>
      <c r="M862" s="78"/>
      <c r="N862" s="78"/>
      <c r="O862" s="78"/>
      <c r="P862" s="78"/>
    </row>
    <row r="863" spans="1:16" s="70" customFormat="1" ht="13.5" customHeight="1">
      <c r="A863" s="158"/>
      <c r="B863" s="130"/>
      <c r="C863" s="130"/>
      <c r="D863" s="43" t="s">
        <v>562</v>
      </c>
      <c r="E863" s="130"/>
      <c r="F863" s="44">
        <f>212.6*2+6.9+13.1+49.6</f>
        <v>494.8</v>
      </c>
      <c r="G863" s="155"/>
      <c r="H863" s="155"/>
      <c r="I863" s="42"/>
      <c r="J863" s="78"/>
      <c r="K863" s="78"/>
      <c r="L863" s="78"/>
      <c r="M863" s="78"/>
      <c r="N863" s="78"/>
      <c r="O863" s="78"/>
      <c r="P863" s="78"/>
    </row>
    <row r="864" spans="1:16" s="70" customFormat="1" ht="13.5" customHeight="1">
      <c r="A864" s="158"/>
      <c r="B864" s="130"/>
      <c r="C864" s="130"/>
      <c r="D864" s="43" t="s">
        <v>564</v>
      </c>
      <c r="E864" s="130"/>
      <c r="F864" s="44">
        <f xml:space="preserve"> 85.2*2+15+2+19.7+14.4</f>
        <v>221.5</v>
      </c>
      <c r="G864" s="155"/>
      <c r="H864" s="155"/>
      <c r="I864" s="42"/>
      <c r="J864" s="78"/>
      <c r="K864" s="78"/>
      <c r="L864" s="78"/>
      <c r="M864" s="78"/>
      <c r="N864" s="78"/>
      <c r="O864" s="78"/>
      <c r="P864" s="78"/>
    </row>
    <row r="865" spans="1:16" s="70" customFormat="1" ht="13.5" customHeight="1">
      <c r="A865" s="158"/>
      <c r="B865" s="130"/>
      <c r="C865" s="130"/>
      <c r="D865" s="43" t="s">
        <v>634</v>
      </c>
      <c r="E865" s="130"/>
      <c r="F865" s="44">
        <f>78.4*2+12.6+2+28.6+31.4</f>
        <v>231.4</v>
      </c>
      <c r="G865" s="155"/>
      <c r="H865" s="155"/>
      <c r="I865" s="42"/>
      <c r="J865" s="78"/>
      <c r="K865" s="78"/>
      <c r="L865" s="78"/>
      <c r="M865" s="78"/>
      <c r="N865" s="78"/>
      <c r="O865" s="78"/>
      <c r="P865" s="78"/>
    </row>
    <row r="866" spans="1:16" s="70" customFormat="1" ht="13.5" customHeight="1">
      <c r="A866" s="158"/>
      <c r="B866" s="130"/>
      <c r="C866" s="130"/>
      <c r="D866" s="43" t="s">
        <v>674</v>
      </c>
      <c r="E866" s="130"/>
      <c r="F866" s="44">
        <f>150.9*2+12.1+2+14.5+20.1</f>
        <v>350.50000000000006</v>
      </c>
      <c r="G866" s="155"/>
      <c r="H866" s="155"/>
      <c r="I866" s="42"/>
      <c r="J866" s="78"/>
      <c r="K866" s="78"/>
      <c r="L866" s="78"/>
      <c r="M866" s="78"/>
      <c r="N866" s="78"/>
      <c r="O866" s="78"/>
      <c r="P866" s="78"/>
    </row>
    <row r="867" spans="1:16" s="70" customFormat="1" ht="13.5" customHeight="1">
      <c r="A867" s="158"/>
      <c r="B867" s="130"/>
      <c r="C867" s="130"/>
      <c r="D867" s="43" t="s">
        <v>730</v>
      </c>
      <c r="E867" s="130"/>
      <c r="F867" s="44">
        <f>73.3*2+18.8+2+13.7+20.1</f>
        <v>201.2</v>
      </c>
      <c r="G867" s="155"/>
      <c r="H867" s="155"/>
      <c r="I867" s="42"/>
      <c r="J867" s="78"/>
      <c r="K867" s="78"/>
      <c r="L867" s="78"/>
      <c r="M867" s="78"/>
      <c r="N867" s="78"/>
      <c r="O867" s="78"/>
      <c r="P867" s="78"/>
    </row>
    <row r="868" spans="1:16" s="70" customFormat="1" ht="13.5" customHeight="1">
      <c r="A868" s="158"/>
      <c r="B868" s="130"/>
      <c r="C868" s="130"/>
      <c r="D868" s="43" t="s">
        <v>764</v>
      </c>
      <c r="E868" s="130"/>
      <c r="F868" s="44">
        <f>70.4*2</f>
        <v>140.80000000000001</v>
      </c>
      <c r="G868" s="155"/>
      <c r="H868" s="155"/>
      <c r="I868" s="42"/>
      <c r="J868" s="78"/>
      <c r="K868" s="78"/>
      <c r="L868" s="78"/>
      <c r="M868" s="78"/>
      <c r="N868" s="78"/>
      <c r="O868" s="78"/>
      <c r="P868" s="78"/>
    </row>
    <row r="869" spans="1:16" s="70" customFormat="1" ht="13.5" customHeight="1">
      <c r="A869" s="158"/>
      <c r="B869" s="130"/>
      <c r="C869" s="130"/>
      <c r="D869" s="43" t="s">
        <v>73</v>
      </c>
      <c r="E869" s="130"/>
      <c r="F869" s="44"/>
      <c r="G869" s="155"/>
      <c r="H869" s="155"/>
      <c r="I869" s="42"/>
    </row>
    <row r="870" spans="1:16" s="70" customFormat="1" ht="13.5" customHeight="1">
      <c r="A870" s="158">
        <v>190</v>
      </c>
      <c r="B870" s="130" t="s">
        <v>131</v>
      </c>
      <c r="C870" s="130" t="s">
        <v>74</v>
      </c>
      <c r="D870" s="130" t="s">
        <v>75</v>
      </c>
      <c r="E870" s="130" t="s">
        <v>28</v>
      </c>
      <c r="F870" s="159">
        <f>F871</f>
        <v>50</v>
      </c>
      <c r="G870" s="155"/>
      <c r="H870" s="155">
        <f>F870*G870</f>
        <v>0</v>
      </c>
      <c r="I870" s="42" t="s">
        <v>105</v>
      </c>
    </row>
    <row r="871" spans="1:16" s="70" customFormat="1" ht="13.5" customHeight="1">
      <c r="A871" s="164"/>
      <c r="B871" s="132"/>
      <c r="C871" s="132"/>
      <c r="D871" s="43" t="s">
        <v>76</v>
      </c>
      <c r="E871" s="132"/>
      <c r="F871" s="44">
        <v>50</v>
      </c>
      <c r="G871" s="166"/>
      <c r="H871" s="155"/>
      <c r="I871" s="123"/>
    </row>
    <row r="872" spans="1:16" s="70" customFormat="1" ht="13.5" customHeight="1">
      <c r="A872" s="164"/>
      <c r="B872" s="132"/>
      <c r="C872" s="132"/>
      <c r="D872" s="43" t="s">
        <v>77</v>
      </c>
      <c r="E872" s="132"/>
      <c r="F872" s="44"/>
      <c r="G872" s="166"/>
      <c r="H872" s="155"/>
      <c r="I872" s="123"/>
    </row>
    <row r="873" spans="1:16" s="2" customFormat="1" ht="13.5" customHeight="1">
      <c r="A873" s="5"/>
      <c r="B873" s="6"/>
      <c r="C873" s="6">
        <v>790</v>
      </c>
      <c r="D873" s="6" t="s">
        <v>88</v>
      </c>
      <c r="E873" s="6"/>
      <c r="F873" s="7"/>
      <c r="G873" s="8"/>
      <c r="H873" s="8">
        <f>SUM(H874:H882)</f>
        <v>0</v>
      </c>
      <c r="I873" s="42"/>
    </row>
    <row r="874" spans="1:16" s="46" customFormat="1" ht="25.5" customHeight="1">
      <c r="A874" s="158">
        <v>191</v>
      </c>
      <c r="B874" s="130">
        <v>790</v>
      </c>
      <c r="C874" s="130" t="s">
        <v>282</v>
      </c>
      <c r="D874" s="130" t="s">
        <v>283</v>
      </c>
      <c r="E874" s="130" t="s">
        <v>47</v>
      </c>
      <c r="F874" s="159">
        <v>1</v>
      </c>
      <c r="G874" s="155"/>
      <c r="H874" s="155">
        <f>F874*G874</f>
        <v>0</v>
      </c>
      <c r="I874" s="42" t="s">
        <v>109</v>
      </c>
    </row>
    <row r="875" spans="1:16" s="46" customFormat="1" ht="13.5" customHeight="1">
      <c r="A875" s="158">
        <v>192</v>
      </c>
      <c r="B875" s="130">
        <v>790</v>
      </c>
      <c r="C875" s="130" t="s">
        <v>284</v>
      </c>
      <c r="D875" s="130" t="s">
        <v>285</v>
      </c>
      <c r="E875" s="130" t="s">
        <v>47</v>
      </c>
      <c r="F875" s="159">
        <v>1</v>
      </c>
      <c r="G875" s="155"/>
      <c r="H875" s="155">
        <f>F875*G875</f>
        <v>0</v>
      </c>
      <c r="I875" s="42" t="s">
        <v>109</v>
      </c>
    </row>
    <row r="876" spans="1:16" s="70" customFormat="1" ht="13.5" customHeight="1">
      <c r="A876" s="158">
        <v>193</v>
      </c>
      <c r="B876" s="130" t="s">
        <v>131</v>
      </c>
      <c r="C876" s="130" t="s">
        <v>291</v>
      </c>
      <c r="D876" s="130" t="s">
        <v>526</v>
      </c>
      <c r="E876" s="130" t="s">
        <v>47</v>
      </c>
      <c r="F876" s="159">
        <f>F877</f>
        <v>1</v>
      </c>
      <c r="G876" s="155"/>
      <c r="H876" s="155">
        <f>F876*G876</f>
        <v>0</v>
      </c>
      <c r="I876" s="42" t="s">
        <v>109</v>
      </c>
    </row>
    <row r="877" spans="1:16" s="70" customFormat="1" ht="13.5" customHeight="1">
      <c r="A877" s="164"/>
      <c r="B877" s="132"/>
      <c r="C877" s="132"/>
      <c r="D877" s="43" t="s">
        <v>527</v>
      </c>
      <c r="E877" s="132"/>
      <c r="F877" s="44">
        <v>1</v>
      </c>
      <c r="G877" s="166"/>
      <c r="H877" s="155"/>
      <c r="I877" s="123"/>
    </row>
    <row r="878" spans="1:16" s="2" customFormat="1" ht="13.5" customHeight="1">
      <c r="A878" s="158">
        <v>194</v>
      </c>
      <c r="B878" s="131" t="s">
        <v>286</v>
      </c>
      <c r="C878" s="130" t="s">
        <v>525</v>
      </c>
      <c r="D878" s="130" t="s">
        <v>1014</v>
      </c>
      <c r="E878" s="130" t="s">
        <v>47</v>
      </c>
      <c r="F878" s="159">
        <v>1</v>
      </c>
      <c r="G878" s="155"/>
      <c r="H878" s="155">
        <f>F878*G878</f>
        <v>0</v>
      </c>
      <c r="I878" s="42" t="s">
        <v>109</v>
      </c>
      <c r="J878" s="12"/>
      <c r="K878" s="12"/>
      <c r="L878" s="12"/>
    </row>
    <row r="879" spans="1:16" s="12" customFormat="1" ht="13.5" customHeight="1">
      <c r="A879" s="158">
        <v>195</v>
      </c>
      <c r="B879" s="131" t="s">
        <v>286</v>
      </c>
      <c r="C879" s="130" t="s">
        <v>287</v>
      </c>
      <c r="D879" s="130" t="s">
        <v>292</v>
      </c>
      <c r="E879" s="130" t="s">
        <v>42</v>
      </c>
      <c r="F879" s="159">
        <v>1.1000000000000001</v>
      </c>
      <c r="G879" s="155"/>
      <c r="H879" s="155">
        <f>F879*G879</f>
        <v>0</v>
      </c>
      <c r="I879" s="42" t="s">
        <v>109</v>
      </c>
    </row>
    <row r="880" spans="1:16" s="10" customFormat="1" ht="13.5" customHeight="1">
      <c r="A880" s="158">
        <v>196</v>
      </c>
      <c r="B880" s="130" t="s">
        <v>131</v>
      </c>
      <c r="C880" s="130" t="s">
        <v>288</v>
      </c>
      <c r="D880" s="130" t="s">
        <v>289</v>
      </c>
      <c r="E880" s="130" t="s">
        <v>28</v>
      </c>
      <c r="F880" s="159">
        <f>F881</f>
        <v>10</v>
      </c>
      <c r="G880" s="155"/>
      <c r="H880" s="155">
        <f>F880*G880</f>
        <v>0</v>
      </c>
      <c r="I880" s="42" t="s">
        <v>105</v>
      </c>
    </row>
    <row r="881" spans="1:12" s="2" customFormat="1" ht="13.5" customHeight="1">
      <c r="A881" s="164"/>
      <c r="B881" s="132"/>
      <c r="C881" s="132"/>
      <c r="D881" s="43" t="s">
        <v>290</v>
      </c>
      <c r="E881" s="132"/>
      <c r="F881" s="44">
        <v>10</v>
      </c>
      <c r="G881" s="166"/>
      <c r="H881" s="155"/>
      <c r="I881" s="45"/>
    </row>
    <row r="882" spans="1:12" s="2" customFormat="1" ht="13.5" customHeight="1">
      <c r="A882" s="164"/>
      <c r="B882" s="132"/>
      <c r="C882" s="132"/>
      <c r="D882" s="43" t="s">
        <v>43</v>
      </c>
      <c r="E882" s="132"/>
      <c r="F882" s="44"/>
      <c r="G882" s="166"/>
      <c r="H882" s="155"/>
      <c r="I882" s="45"/>
    </row>
    <row r="883" spans="1:12" s="2" customFormat="1" ht="21" customHeight="1">
      <c r="A883" s="5"/>
      <c r="B883" s="6"/>
      <c r="C883" s="6" t="s">
        <v>100</v>
      </c>
      <c r="D883" s="6" t="s">
        <v>101</v>
      </c>
      <c r="E883" s="6"/>
      <c r="F883" s="64"/>
      <c r="G883" s="8"/>
      <c r="H883" s="8">
        <f>H884+H900</f>
        <v>0</v>
      </c>
      <c r="I883" s="45"/>
      <c r="J883" s="12"/>
      <c r="K883" s="65"/>
      <c r="L883" s="12"/>
    </row>
    <row r="884" spans="1:12" s="70" customFormat="1" ht="13.5" customHeight="1">
      <c r="A884" s="5"/>
      <c r="B884" s="6"/>
      <c r="C884" s="6" t="s">
        <v>293</v>
      </c>
      <c r="D884" s="6" t="s">
        <v>294</v>
      </c>
      <c r="E884" s="6"/>
      <c r="F884" s="7"/>
      <c r="G884" s="8"/>
      <c r="H884" s="8">
        <f>SUM(H885:H899)</f>
        <v>0</v>
      </c>
      <c r="I884" s="123"/>
    </row>
    <row r="885" spans="1:12" s="70" customFormat="1" ht="13.5" customHeight="1">
      <c r="A885" s="158">
        <v>197</v>
      </c>
      <c r="B885" s="131" t="s">
        <v>295</v>
      </c>
      <c r="C885" s="130" t="s">
        <v>296</v>
      </c>
      <c r="D885" s="130" t="s">
        <v>301</v>
      </c>
      <c r="E885" s="130" t="s">
        <v>46</v>
      </c>
      <c r="F885" s="159">
        <f>F886</f>
        <v>1</v>
      </c>
      <c r="G885" s="155"/>
      <c r="H885" s="155">
        <f>F885*G885</f>
        <v>0</v>
      </c>
      <c r="I885" s="42" t="s">
        <v>109</v>
      </c>
    </row>
    <row r="886" spans="1:12" s="70" customFormat="1" ht="48.75" customHeight="1">
      <c r="A886" s="158"/>
      <c r="B886" s="131"/>
      <c r="C886" s="130"/>
      <c r="D886" s="43" t="s">
        <v>1009</v>
      </c>
      <c r="E886" s="130"/>
      <c r="F886" s="44">
        <v>1</v>
      </c>
      <c r="G886" s="155"/>
      <c r="H886" s="155"/>
      <c r="I886" s="42"/>
    </row>
    <row r="887" spans="1:12" s="70" customFormat="1" ht="47.25" customHeight="1">
      <c r="A887" s="158"/>
      <c r="B887" s="131"/>
      <c r="C887" s="130"/>
      <c r="D887" s="43" t="s">
        <v>303</v>
      </c>
      <c r="E887" s="130"/>
      <c r="F887" s="189"/>
      <c r="G887" s="155"/>
      <c r="H887" s="155"/>
      <c r="I887" s="11"/>
      <c r="J887" s="106"/>
    </row>
    <row r="888" spans="1:12" s="70" customFormat="1" ht="13.5" customHeight="1">
      <c r="A888" s="158">
        <v>198</v>
      </c>
      <c r="B888" s="131" t="s">
        <v>295</v>
      </c>
      <c r="C888" s="130" t="s">
        <v>297</v>
      </c>
      <c r="D888" s="130" t="s">
        <v>302</v>
      </c>
      <c r="E888" s="130" t="s">
        <v>46</v>
      </c>
      <c r="F888" s="159">
        <f>F889</f>
        <v>1</v>
      </c>
      <c r="G888" s="155"/>
      <c r="H888" s="155">
        <f>F888*G888</f>
        <v>0</v>
      </c>
      <c r="I888" s="42" t="s">
        <v>109</v>
      </c>
    </row>
    <row r="889" spans="1:12" s="70" customFormat="1" ht="46.5" customHeight="1">
      <c r="A889" s="158"/>
      <c r="B889" s="131"/>
      <c r="C889" s="130"/>
      <c r="D889" s="43" t="s">
        <v>1009</v>
      </c>
      <c r="E889" s="130"/>
      <c r="F889" s="44">
        <v>1</v>
      </c>
      <c r="G889" s="155"/>
      <c r="H889" s="155"/>
      <c r="I889" s="42"/>
    </row>
    <row r="890" spans="1:12" s="70" customFormat="1" ht="47.25" customHeight="1">
      <c r="A890" s="158"/>
      <c r="B890" s="131"/>
      <c r="C890" s="130"/>
      <c r="D890" s="43" t="s">
        <v>303</v>
      </c>
      <c r="E890" s="130"/>
      <c r="F890" s="189"/>
      <c r="G890" s="155"/>
      <c r="H890" s="155"/>
      <c r="I890" s="11"/>
      <c r="J890" s="106"/>
    </row>
    <row r="891" spans="1:12" s="70" customFormat="1" ht="13.5" customHeight="1">
      <c r="A891" s="158">
        <v>199</v>
      </c>
      <c r="B891" s="131" t="s">
        <v>295</v>
      </c>
      <c r="C891" s="130" t="s">
        <v>350</v>
      </c>
      <c r="D891" s="130" t="s">
        <v>351</v>
      </c>
      <c r="E891" s="130" t="s">
        <v>46</v>
      </c>
      <c r="F891" s="159">
        <f>F892</f>
        <v>1</v>
      </c>
      <c r="G891" s="155"/>
      <c r="H891" s="155">
        <f>F891*G891</f>
        <v>0</v>
      </c>
      <c r="I891" s="42" t="s">
        <v>109</v>
      </c>
    </row>
    <row r="892" spans="1:12" s="70" customFormat="1" ht="39" customHeight="1">
      <c r="A892" s="158"/>
      <c r="B892" s="131"/>
      <c r="C892" s="130"/>
      <c r="D892" s="43" t="s">
        <v>1010</v>
      </c>
      <c r="E892" s="130"/>
      <c r="F892" s="44">
        <v>1</v>
      </c>
      <c r="G892" s="155"/>
      <c r="H892" s="155"/>
      <c r="I892" s="42"/>
    </row>
    <row r="893" spans="1:12" s="70" customFormat="1" ht="47.25" customHeight="1">
      <c r="A893" s="158"/>
      <c r="B893" s="131"/>
      <c r="C893" s="130"/>
      <c r="D893" s="43" t="s">
        <v>303</v>
      </c>
      <c r="E893" s="130"/>
      <c r="F893" s="189"/>
      <c r="G893" s="155"/>
      <c r="H893" s="155"/>
      <c r="I893" s="11"/>
      <c r="J893" s="106"/>
    </row>
    <row r="894" spans="1:12" s="70" customFormat="1" ht="13.5" customHeight="1">
      <c r="A894" s="158">
        <v>200</v>
      </c>
      <c r="B894" s="131" t="s">
        <v>295</v>
      </c>
      <c r="C894" s="130" t="s">
        <v>1016</v>
      </c>
      <c r="D894" s="130" t="s">
        <v>1017</v>
      </c>
      <c r="E894" s="130" t="s">
        <v>46</v>
      </c>
      <c r="F894" s="159">
        <f>F895</f>
        <v>1</v>
      </c>
      <c r="G894" s="155"/>
      <c r="H894" s="155">
        <f>F894*G894</f>
        <v>0</v>
      </c>
      <c r="I894" s="42" t="s">
        <v>109</v>
      </c>
    </row>
    <row r="895" spans="1:12" s="70" customFormat="1" ht="24.75" customHeight="1">
      <c r="A895" s="158"/>
      <c r="B895" s="131"/>
      <c r="C895" s="130"/>
      <c r="D895" s="43" t="s">
        <v>1018</v>
      </c>
      <c r="E895" s="130"/>
      <c r="F895" s="44">
        <v>1</v>
      </c>
      <c r="G895" s="155"/>
      <c r="H895" s="155"/>
      <c r="I895" s="42"/>
    </row>
    <row r="896" spans="1:12" s="70" customFormat="1" ht="26.25" customHeight="1">
      <c r="A896" s="158"/>
      <c r="B896" s="131"/>
      <c r="C896" s="130"/>
      <c r="D896" s="43" t="s">
        <v>1019</v>
      </c>
      <c r="E896" s="130"/>
      <c r="F896" s="189"/>
      <c r="G896" s="155"/>
      <c r="H896" s="155"/>
      <c r="I896" s="11"/>
      <c r="J896" s="106"/>
    </row>
    <row r="897" spans="1:10" s="70" customFormat="1" ht="13.5" customHeight="1">
      <c r="A897" s="158">
        <v>201</v>
      </c>
      <c r="B897" s="130" t="s">
        <v>131</v>
      </c>
      <c r="C897" s="130" t="s">
        <v>298</v>
      </c>
      <c r="D897" s="130" t="s">
        <v>299</v>
      </c>
      <c r="E897" s="130" t="s">
        <v>28</v>
      </c>
      <c r="F897" s="159">
        <f>F898</f>
        <v>15</v>
      </c>
      <c r="G897" s="155"/>
      <c r="H897" s="155">
        <f>F897*G897</f>
        <v>0</v>
      </c>
      <c r="I897" s="42" t="s">
        <v>105</v>
      </c>
    </row>
    <row r="898" spans="1:10" s="70" customFormat="1" ht="13.5" customHeight="1">
      <c r="A898" s="164"/>
      <c r="B898" s="132"/>
      <c r="C898" s="132"/>
      <c r="D898" s="43" t="s">
        <v>300</v>
      </c>
      <c r="E898" s="132"/>
      <c r="F898" s="44">
        <v>15</v>
      </c>
      <c r="G898" s="166"/>
      <c r="H898" s="155"/>
      <c r="I898" s="45"/>
    </row>
    <row r="899" spans="1:10" s="70" customFormat="1" ht="13.5" customHeight="1">
      <c r="A899" s="164"/>
      <c r="B899" s="132"/>
      <c r="C899" s="132"/>
      <c r="D899" s="43" t="s">
        <v>43</v>
      </c>
      <c r="E899" s="132"/>
      <c r="F899" s="44"/>
      <c r="G899" s="166"/>
      <c r="H899" s="155"/>
      <c r="I899" s="45"/>
    </row>
    <row r="900" spans="1:10" s="70" customFormat="1" ht="13.5" customHeight="1">
      <c r="A900" s="5"/>
      <c r="B900" s="6"/>
      <c r="C900" s="6" t="s">
        <v>98</v>
      </c>
      <c r="D900" s="6" t="s">
        <v>99</v>
      </c>
      <c r="E900" s="6"/>
      <c r="F900" s="7"/>
      <c r="G900" s="8"/>
      <c r="H900" s="8">
        <f>SUM(H901:H922)</f>
        <v>0</v>
      </c>
      <c r="I900" s="123"/>
    </row>
    <row r="901" spans="1:10" s="70" customFormat="1" ht="13.5" customHeight="1">
      <c r="A901" s="158">
        <v>202</v>
      </c>
      <c r="B901" s="131" t="s">
        <v>201</v>
      </c>
      <c r="C901" s="130" t="s">
        <v>202</v>
      </c>
      <c r="D901" s="130" t="s">
        <v>203</v>
      </c>
      <c r="E901" s="130" t="s">
        <v>204</v>
      </c>
      <c r="F901" s="159">
        <f>F906+F907</f>
        <v>37300</v>
      </c>
      <c r="G901" s="155"/>
      <c r="H901" s="155">
        <f>F901*G901</f>
        <v>0</v>
      </c>
      <c r="I901" s="42" t="s">
        <v>109</v>
      </c>
    </row>
    <row r="902" spans="1:10" s="70" customFormat="1" ht="26.25" customHeight="1">
      <c r="A902" s="158"/>
      <c r="B902" s="131"/>
      <c r="C902" s="130"/>
      <c r="D902" s="43" t="s">
        <v>205</v>
      </c>
      <c r="E902" s="130"/>
      <c r="F902" s="44"/>
      <c r="G902" s="155"/>
      <c r="H902" s="155"/>
      <c r="I902" s="11"/>
      <c r="J902" s="124"/>
    </row>
    <row r="903" spans="1:10" s="70" customFormat="1" ht="27" customHeight="1">
      <c r="A903" s="158"/>
      <c r="B903" s="131"/>
      <c r="C903" s="130"/>
      <c r="D903" s="43" t="s">
        <v>206</v>
      </c>
      <c r="E903" s="130"/>
      <c r="F903" s="44"/>
      <c r="G903" s="155"/>
      <c r="H903" s="155"/>
      <c r="I903" s="11"/>
      <c r="J903" s="106"/>
    </row>
    <row r="904" spans="1:10" s="70" customFormat="1" ht="41.25" customHeight="1">
      <c r="A904" s="158"/>
      <c r="B904" s="131"/>
      <c r="C904" s="130"/>
      <c r="D904" s="43" t="s">
        <v>207</v>
      </c>
      <c r="E904" s="130"/>
      <c r="F904" s="44"/>
      <c r="G904" s="155"/>
      <c r="H904" s="155"/>
      <c r="I904" s="11"/>
      <c r="J904" s="124"/>
    </row>
    <row r="905" spans="1:10" s="70" customFormat="1" ht="26.25" customHeight="1">
      <c r="A905" s="158"/>
      <c r="B905" s="131"/>
      <c r="C905" s="130"/>
      <c r="D905" s="43" t="s">
        <v>208</v>
      </c>
      <c r="E905" s="130"/>
      <c r="F905" s="44"/>
      <c r="G905" s="155"/>
      <c r="H905" s="155"/>
      <c r="I905" s="11"/>
      <c r="J905" s="124"/>
    </row>
    <row r="906" spans="1:10" s="70" customFormat="1" ht="13.5" customHeight="1">
      <c r="A906" s="158"/>
      <c r="B906" s="131"/>
      <c r="C906" s="130"/>
      <c r="D906" s="43" t="s">
        <v>683</v>
      </c>
      <c r="E906" s="130"/>
      <c r="F906" s="44">
        <v>4500</v>
      </c>
      <c r="G906" s="155"/>
      <c r="H906" s="155"/>
      <c r="I906" s="11"/>
      <c r="J906" s="124"/>
    </row>
    <row r="907" spans="1:10" s="70" customFormat="1" ht="13.5" customHeight="1">
      <c r="A907" s="158"/>
      <c r="B907" s="131"/>
      <c r="C907" s="130"/>
      <c r="D907" s="43" t="s">
        <v>882</v>
      </c>
      <c r="E907" s="130"/>
      <c r="F907" s="44">
        <v>32800</v>
      </c>
      <c r="G907" s="155"/>
      <c r="H907" s="155"/>
      <c r="I907" s="11"/>
      <c r="J907" s="124"/>
    </row>
    <row r="908" spans="1:10" s="70" customFormat="1" ht="13.5" customHeight="1">
      <c r="A908" s="158">
        <v>203</v>
      </c>
      <c r="B908" s="131" t="s">
        <v>201</v>
      </c>
      <c r="C908" s="130" t="s">
        <v>435</v>
      </c>
      <c r="D908" s="130" t="s">
        <v>203</v>
      </c>
      <c r="E908" s="130" t="s">
        <v>204</v>
      </c>
      <c r="F908" s="159">
        <f>F914</f>
        <v>13000</v>
      </c>
      <c r="G908" s="155"/>
      <c r="H908" s="155">
        <f>F908*G908</f>
        <v>0</v>
      </c>
      <c r="I908" s="42" t="s">
        <v>109</v>
      </c>
    </row>
    <row r="909" spans="1:10" s="70" customFormat="1" ht="26.25" customHeight="1">
      <c r="A909" s="158"/>
      <c r="B909" s="131"/>
      <c r="C909" s="130"/>
      <c r="D909" s="43" t="s">
        <v>205</v>
      </c>
      <c r="E909" s="130"/>
      <c r="F909" s="44"/>
      <c r="G909" s="155"/>
      <c r="H909" s="155"/>
      <c r="I909" s="11"/>
      <c r="J909" s="124"/>
    </row>
    <row r="910" spans="1:10" s="70" customFormat="1" ht="27" customHeight="1">
      <c r="A910" s="158"/>
      <c r="B910" s="131"/>
      <c r="C910" s="130"/>
      <c r="D910" s="43" t="s">
        <v>206</v>
      </c>
      <c r="E910" s="130"/>
      <c r="F910" s="44"/>
      <c r="G910" s="155"/>
      <c r="H910" s="155"/>
      <c r="I910" s="11"/>
      <c r="J910" s="106"/>
    </row>
    <row r="911" spans="1:10" s="70" customFormat="1" ht="27" customHeight="1">
      <c r="A911" s="158"/>
      <c r="B911" s="131"/>
      <c r="C911" s="130"/>
      <c r="D911" s="43" t="s">
        <v>797</v>
      </c>
      <c r="E911" s="130"/>
      <c r="F911" s="44"/>
      <c r="G911" s="155"/>
      <c r="H911" s="155"/>
      <c r="I911" s="11"/>
      <c r="J911" s="124"/>
    </row>
    <row r="912" spans="1:10" s="70" customFormat="1" ht="26.25" customHeight="1">
      <c r="A912" s="158"/>
      <c r="B912" s="131"/>
      <c r="C912" s="130"/>
      <c r="D912" s="43" t="s">
        <v>208</v>
      </c>
      <c r="E912" s="130"/>
      <c r="F912" s="44"/>
      <c r="G912" s="155"/>
      <c r="H912" s="155"/>
      <c r="I912" s="11"/>
      <c r="J912" s="124"/>
    </row>
    <row r="913" spans="1:25" s="2" customFormat="1" ht="27" customHeight="1">
      <c r="A913" s="164"/>
      <c r="B913" s="168"/>
      <c r="C913" s="132"/>
      <c r="D913" s="43" t="s">
        <v>347</v>
      </c>
      <c r="E913" s="43"/>
      <c r="F913" s="44"/>
      <c r="G913" s="166"/>
      <c r="H913" s="155"/>
      <c r="I913" s="45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</row>
    <row r="914" spans="1:25" s="70" customFormat="1" ht="13.5" customHeight="1">
      <c r="A914" s="158"/>
      <c r="B914" s="131"/>
      <c r="C914" s="130"/>
      <c r="D914" s="43" t="s">
        <v>881</v>
      </c>
      <c r="E914" s="130"/>
      <c r="F914" s="44">
        <v>13000</v>
      </c>
      <c r="G914" s="155"/>
      <c r="H914" s="155"/>
      <c r="I914" s="11"/>
      <c r="J914" s="124"/>
    </row>
    <row r="915" spans="1:25" s="70" customFormat="1" ht="13.5" customHeight="1">
      <c r="A915" s="158">
        <v>204</v>
      </c>
      <c r="B915" s="131" t="s">
        <v>201</v>
      </c>
      <c r="C915" s="130" t="s">
        <v>767</v>
      </c>
      <c r="D915" s="130" t="s">
        <v>433</v>
      </c>
      <c r="E915" s="130" t="s">
        <v>21</v>
      </c>
      <c r="F915" s="159">
        <f>F919</f>
        <v>36.6</v>
      </c>
      <c r="G915" s="155"/>
      <c r="H915" s="155">
        <f>F915*G915</f>
        <v>0</v>
      </c>
      <c r="I915" s="42" t="s">
        <v>109</v>
      </c>
    </row>
    <row r="916" spans="1:25" s="70" customFormat="1" ht="26.25" customHeight="1">
      <c r="A916" s="158"/>
      <c r="B916" s="131"/>
      <c r="C916" s="130"/>
      <c r="D916" s="43" t="s">
        <v>434</v>
      </c>
      <c r="E916" s="130"/>
      <c r="F916" s="44"/>
      <c r="G916" s="155"/>
      <c r="H916" s="155"/>
      <c r="I916" s="11"/>
      <c r="J916" s="124"/>
    </row>
    <row r="917" spans="1:25" s="70" customFormat="1" ht="26.25" customHeight="1">
      <c r="A917" s="158"/>
      <c r="B917" s="131"/>
      <c r="C917" s="130"/>
      <c r="D917" s="43" t="s">
        <v>205</v>
      </c>
      <c r="E917" s="130"/>
      <c r="F917" s="44"/>
      <c r="G917" s="155"/>
      <c r="H917" s="155"/>
      <c r="I917" s="11"/>
      <c r="J917" s="124"/>
    </row>
    <row r="918" spans="1:25" s="70" customFormat="1" ht="26.25" customHeight="1">
      <c r="A918" s="158"/>
      <c r="B918" s="131"/>
      <c r="C918" s="130"/>
      <c r="D918" s="43" t="s">
        <v>208</v>
      </c>
      <c r="E918" s="130"/>
      <c r="F918" s="44"/>
      <c r="G918" s="155"/>
      <c r="H918" s="155"/>
      <c r="I918" s="11"/>
      <c r="J918" s="124"/>
    </row>
    <row r="919" spans="1:25" s="70" customFormat="1" ht="13.5" customHeight="1">
      <c r="A919" s="158"/>
      <c r="B919" s="131"/>
      <c r="C919" s="130"/>
      <c r="D919" s="43" t="s">
        <v>509</v>
      </c>
      <c r="E919" s="130"/>
      <c r="F919" s="44">
        <v>36.6</v>
      </c>
      <c r="G919" s="155"/>
      <c r="H919" s="155"/>
      <c r="I919" s="11"/>
      <c r="J919" s="124"/>
    </row>
    <row r="920" spans="1:25" s="70" customFormat="1" ht="13.5" customHeight="1">
      <c r="A920" s="158">
        <v>205</v>
      </c>
      <c r="B920" s="130" t="s">
        <v>131</v>
      </c>
      <c r="C920" s="130" t="s">
        <v>209</v>
      </c>
      <c r="D920" s="130" t="s">
        <v>210</v>
      </c>
      <c r="E920" s="130" t="s">
        <v>28</v>
      </c>
      <c r="F920" s="159">
        <f>F921</f>
        <v>30</v>
      </c>
      <c r="G920" s="155"/>
      <c r="H920" s="155">
        <f>F920*G920</f>
        <v>0</v>
      </c>
      <c r="I920" s="42" t="s">
        <v>105</v>
      </c>
    </row>
    <row r="921" spans="1:25" s="70" customFormat="1" ht="13.5" customHeight="1">
      <c r="A921" s="164"/>
      <c r="B921" s="132"/>
      <c r="C921" s="132"/>
      <c r="D921" s="43" t="s">
        <v>211</v>
      </c>
      <c r="E921" s="132"/>
      <c r="F921" s="44">
        <v>30</v>
      </c>
      <c r="G921" s="166"/>
      <c r="H921" s="155"/>
      <c r="I921" s="45"/>
    </row>
    <row r="922" spans="1:25" s="70" customFormat="1" ht="13.5" customHeight="1">
      <c r="A922" s="164"/>
      <c r="B922" s="132"/>
      <c r="C922" s="132"/>
      <c r="D922" s="43" t="s">
        <v>43</v>
      </c>
      <c r="E922" s="132"/>
      <c r="F922" s="44"/>
      <c r="G922" s="166"/>
      <c r="H922" s="155"/>
      <c r="I922" s="45"/>
    </row>
    <row r="923" spans="1:25" s="2" customFormat="1" ht="21" customHeight="1">
      <c r="A923" s="14"/>
      <c r="B923" s="15"/>
      <c r="C923" s="15"/>
      <c r="D923" s="15" t="s">
        <v>18</v>
      </c>
      <c r="E923" s="15"/>
      <c r="F923" s="16"/>
      <c r="G923" s="35"/>
      <c r="H923" s="17">
        <f>H362+H8+H883</f>
        <v>0</v>
      </c>
      <c r="J923" s="46"/>
      <c r="K923" s="46"/>
      <c r="L923" s="46"/>
    </row>
    <row r="924" spans="1:25" s="22" customFormat="1" ht="12" customHeight="1">
      <c r="A924" s="18"/>
      <c r="B924" s="19"/>
      <c r="C924" s="19"/>
      <c r="D924" s="19"/>
      <c r="E924" s="19"/>
      <c r="F924" s="20"/>
      <c r="G924" s="36"/>
      <c r="H924" s="21"/>
      <c r="J924" s="59"/>
      <c r="K924" s="59"/>
      <c r="L924" s="59"/>
    </row>
    <row r="925" spans="1:25" s="2" customFormat="1" ht="13.5" customHeight="1">
      <c r="A925" s="209" t="s">
        <v>19</v>
      </c>
      <c r="B925" s="210"/>
      <c r="C925" s="211"/>
      <c r="D925" s="23" t="s">
        <v>180</v>
      </c>
      <c r="E925" s="24"/>
      <c r="F925" s="25"/>
      <c r="G925" s="37"/>
      <c r="H925" s="26">
        <f>H923</f>
        <v>0</v>
      </c>
      <c r="I925" s="12"/>
      <c r="J925" s="46"/>
      <c r="K925" s="60"/>
      <c r="L925" s="46"/>
    </row>
    <row r="926" spans="1:25" s="2" customFormat="1" ht="13.5" customHeight="1">
      <c r="A926" s="27"/>
      <c r="B926" s="28"/>
      <c r="C926" s="28"/>
      <c r="D926" s="29"/>
      <c r="E926" s="30"/>
      <c r="F926" s="31"/>
      <c r="G926" s="38"/>
      <c r="H926" s="32"/>
      <c r="I926" s="12"/>
      <c r="J926" s="46"/>
      <c r="K926" s="46"/>
      <c r="L926" s="46"/>
    </row>
    <row r="927" spans="1:25" s="33" customFormat="1" ht="11.25">
      <c r="A927" s="33" t="s">
        <v>20</v>
      </c>
      <c r="G927" s="34"/>
      <c r="I927" s="34"/>
      <c r="J927" s="62"/>
      <c r="K927" s="62"/>
      <c r="L927" s="62"/>
    </row>
    <row r="928" spans="1:25" s="2" customFormat="1" ht="23.45" customHeight="1">
      <c r="A928" s="212" t="s">
        <v>24</v>
      </c>
      <c r="B928" s="213"/>
      <c r="C928" s="213"/>
      <c r="D928" s="213"/>
      <c r="E928" s="213"/>
      <c r="F928" s="213"/>
      <c r="G928" s="213"/>
      <c r="H928" s="34"/>
      <c r="I928" s="12"/>
    </row>
    <row r="929" spans="1:9" s="33" customFormat="1" ht="93.75" customHeight="1">
      <c r="A929" s="207" t="s">
        <v>32</v>
      </c>
      <c r="B929" s="214"/>
      <c r="C929" s="214"/>
      <c r="D929" s="214"/>
      <c r="E929" s="214"/>
      <c r="F929" s="214"/>
      <c r="G929" s="214"/>
    </row>
    <row r="930" spans="1:9" s="10" customFormat="1" ht="13.5" customHeight="1">
      <c r="A930" s="212" t="s">
        <v>25</v>
      </c>
      <c r="B930" s="215"/>
      <c r="C930" s="215"/>
      <c r="D930" s="215"/>
      <c r="E930" s="215"/>
      <c r="F930" s="215"/>
      <c r="G930" s="215"/>
      <c r="H930" s="40"/>
      <c r="I930" s="41"/>
    </row>
    <row r="931" spans="1:9" s="10" customFormat="1" ht="13.5" customHeight="1">
      <c r="A931" s="212" t="s">
        <v>26</v>
      </c>
      <c r="B931" s="215"/>
      <c r="C931" s="215"/>
      <c r="D931" s="215"/>
      <c r="E931" s="215"/>
      <c r="F931" s="215"/>
      <c r="G931" s="215"/>
      <c r="H931" s="40"/>
      <c r="I931" s="41"/>
    </row>
    <row r="932" spans="1:9" s="10" customFormat="1" ht="13.5" customHeight="1">
      <c r="A932" s="55"/>
      <c r="B932" s="56"/>
      <c r="C932" s="56"/>
      <c r="D932" s="56"/>
      <c r="E932" s="56"/>
      <c r="F932" s="56"/>
      <c r="G932" s="56"/>
      <c r="H932" s="40"/>
      <c r="I932" s="41"/>
    </row>
    <row r="933" spans="1:9" s="33" customFormat="1" ht="23.45" customHeight="1">
      <c r="A933" s="207"/>
      <c r="B933" s="208"/>
      <c r="C933" s="208"/>
      <c r="D933" s="208"/>
      <c r="E933" s="208"/>
      <c r="F933" s="208"/>
      <c r="G933" s="208"/>
      <c r="I933" s="34"/>
    </row>
  </sheetData>
  <mergeCells count="7">
    <mergeCell ref="A2:I2"/>
    <mergeCell ref="A933:G933"/>
    <mergeCell ref="A925:C925"/>
    <mergeCell ref="A928:G928"/>
    <mergeCell ref="A929:G929"/>
    <mergeCell ref="A930:G930"/>
    <mergeCell ref="A931:G9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ASR - NS</vt:lpstr>
      <vt:lpstr>'D.1.1. ASR - NS'!Oblast_tisku</vt:lpstr>
      <vt:lpstr>Rekapitulace!Oblast_tisku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2018-08-23T10:23:46Z</dcterms:modified>
</cp:coreProperties>
</file>